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defaultThemeVersion="166925"/>
  <mc:AlternateContent xmlns:mc="http://schemas.openxmlformats.org/markup-compatibility/2006">
    <mc:Choice Requires="x15">
      <x15ac:absPath xmlns:x15ac="http://schemas.microsoft.com/office/spreadsheetml/2010/11/ac" url="F:\RSL\"/>
    </mc:Choice>
  </mc:AlternateContent>
  <xr:revisionPtr revIDLastSave="0" documentId="13_ncr:1_{28B4E01F-DC7D-4EF5-A909-12E50025BA98}" xr6:coauthVersionLast="47" xr6:coauthVersionMax="47" xr10:uidLastSave="{00000000-0000-0000-0000-000000000000}"/>
  <bookViews>
    <workbookView xWindow="-120" yWindow="-120" windowWidth="29040" windowHeight="16440" xr2:uid="{3ED40329-6B4C-4C58-8559-57B43ED64DC0}"/>
  </bookViews>
  <sheets>
    <sheet name="principal" sheetId="3" r:id="rId1"/>
    <sheet name="syntax" sheetId="10" r:id="rId2"/>
    <sheet name="codes" sheetId="5" r:id="rId3"/>
    <sheet name="Hoja5" sheetId="9" state="hidden" r:id="rId4"/>
    <sheet name="Hoja3" sheetId="7" state="hidden" r:id="rId5"/>
  </sheets>
  <definedNames>
    <definedName name="Approach">#REF!</definedName>
    <definedName name="DataBase">#REF!</definedName>
    <definedName name="Education">#REF!</definedName>
    <definedName name="ELevel">#REF!</definedName>
    <definedName name="Gender">#REF!</definedName>
    <definedName name="Language">#REF!</definedName>
    <definedName name="MEdition">#REF!</definedName>
    <definedName name="MMode">#REF!</definedName>
    <definedName name="QLevel">#REF!</definedName>
    <definedName name="RMethod">#REF!</definedName>
    <definedName name="RMethod2">#REF!</definedName>
    <definedName name="RMethod3">#REF!</definedName>
    <definedName name="Subject">#REF!</definedName>
    <definedName name="Type">#REF!</definedName>
    <definedName name="YesNo">#REF!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10" i="5" l="1"/>
  <c r="H111" i="5"/>
  <c r="H112" i="5"/>
  <c r="H113" i="5"/>
  <c r="H114" i="5"/>
  <c r="H115" i="5"/>
  <c r="H109" i="5"/>
  <c r="D116" i="5"/>
  <c r="F116" i="5"/>
  <c r="E116" i="5"/>
  <c r="C116" i="5"/>
  <c r="B116" i="5"/>
  <c r="M70" i="5"/>
  <c r="M71" i="5"/>
  <c r="M72" i="5"/>
  <c r="M73" i="5"/>
  <c r="M74" i="5"/>
  <c r="M75" i="5"/>
  <c r="M76" i="5"/>
  <c r="M77" i="5"/>
  <c r="M69" i="5"/>
  <c r="J7" i="5"/>
  <c r="J6" i="5"/>
  <c r="J5" i="5"/>
  <c r="J4" i="5"/>
  <c r="J3" i="5"/>
  <c r="J2" i="5"/>
  <c r="I7" i="5"/>
  <c r="I6" i="5"/>
  <c r="I5" i="5"/>
  <c r="I4" i="5"/>
  <c r="I3" i="5"/>
  <c r="I2" i="5"/>
  <c r="H7" i="5"/>
  <c r="H6" i="5"/>
  <c r="H5" i="5"/>
  <c r="H4" i="5"/>
  <c r="H3" i="5"/>
  <c r="H2" i="5"/>
  <c r="G7" i="5"/>
  <c r="G6" i="5"/>
  <c r="G5" i="5"/>
  <c r="G4" i="5"/>
  <c r="G3" i="5"/>
  <c r="G2" i="5"/>
  <c r="F7" i="5"/>
  <c r="F6" i="5"/>
  <c r="F5" i="5"/>
  <c r="F4" i="5"/>
  <c r="F3" i="5"/>
  <c r="F2" i="5"/>
  <c r="E35" i="5"/>
  <c r="B31" i="5"/>
  <c r="O57" i="5"/>
  <c r="I57" i="5"/>
  <c r="J57" i="5"/>
  <c r="K57" i="5"/>
  <c r="L57" i="5"/>
  <c r="M57" i="5"/>
  <c r="N57" i="5"/>
  <c r="H57" i="5"/>
  <c r="E31" i="5"/>
  <c r="F31" i="5"/>
  <c r="E32" i="5"/>
  <c r="F32" i="5"/>
  <c r="E33" i="5"/>
  <c r="F33" i="5"/>
  <c r="E34" i="5"/>
  <c r="F34" i="5"/>
  <c r="E37" i="5"/>
  <c r="B88" i="5"/>
  <c r="E88" i="5"/>
  <c r="H88" i="5"/>
  <c r="B89" i="5"/>
  <c r="H89" i="5"/>
  <c r="B90" i="5"/>
  <c r="E90" i="5"/>
  <c r="H90" i="5"/>
  <c r="B91" i="5"/>
  <c r="E91" i="5"/>
  <c r="H91" i="5"/>
  <c r="B92" i="5"/>
  <c r="E92" i="5"/>
  <c r="H92" i="5"/>
  <c r="B93" i="5"/>
  <c r="E93" i="5"/>
  <c r="H93" i="5"/>
  <c r="B94" i="5"/>
  <c r="H94" i="5"/>
  <c r="B95" i="5"/>
  <c r="E95" i="5"/>
  <c r="H95" i="5"/>
  <c r="B96" i="5"/>
  <c r="E96" i="5"/>
  <c r="H96" i="5"/>
  <c r="B97" i="5"/>
  <c r="E97" i="5"/>
  <c r="H97" i="5"/>
  <c r="B55" i="5"/>
  <c r="C55" i="5" s="1"/>
  <c r="B56" i="5"/>
  <c r="C56" i="5" s="1"/>
  <c r="B57" i="5"/>
  <c r="C57" i="5" s="1"/>
  <c r="B58" i="5"/>
  <c r="C58" i="5" s="1"/>
  <c r="B59" i="5"/>
  <c r="C59" i="5" s="1"/>
  <c r="B60" i="5"/>
  <c r="C60" i="5" s="1"/>
  <c r="B61" i="5"/>
  <c r="C61" i="5" s="1"/>
  <c r="B62" i="5"/>
  <c r="C62" i="5" s="1"/>
  <c r="B63" i="5"/>
  <c r="C63" i="5" s="1"/>
  <c r="B64" i="5"/>
  <c r="C64" i="5" s="1"/>
  <c r="B65" i="5"/>
  <c r="C65" i="5" s="1"/>
  <c r="B66" i="5"/>
  <c r="C66" i="5" s="1"/>
  <c r="B67" i="5"/>
  <c r="C67" i="5" s="1"/>
  <c r="B68" i="5"/>
  <c r="C68" i="5" s="1"/>
  <c r="B69" i="5"/>
  <c r="C69" i="5" s="1"/>
  <c r="B70" i="5"/>
  <c r="C70" i="5" s="1"/>
  <c r="B71" i="5"/>
  <c r="C71" i="5" s="1"/>
  <c r="B72" i="5"/>
  <c r="C72" i="5" s="1"/>
  <c r="B73" i="5"/>
  <c r="C73" i="5" s="1"/>
  <c r="B74" i="5"/>
  <c r="C74" i="5" s="1"/>
  <c r="B75" i="5"/>
  <c r="C75" i="5" s="1"/>
  <c r="B76" i="5"/>
  <c r="C76" i="5" s="1"/>
  <c r="B77" i="5"/>
  <c r="C77" i="5" s="1"/>
  <c r="B78" i="5"/>
  <c r="C78" i="5" s="1"/>
  <c r="B79" i="5"/>
  <c r="C79" i="5" s="1"/>
  <c r="B80" i="5"/>
  <c r="C80" i="5" s="1"/>
  <c r="B81" i="5"/>
  <c r="C81" i="5" s="1"/>
  <c r="B82" i="5"/>
  <c r="C82" i="5" s="1"/>
  <c r="B83" i="5"/>
  <c r="P67" i="5"/>
  <c r="P68" i="5"/>
  <c r="P69" i="5"/>
  <c r="P70" i="5"/>
  <c r="P71" i="5"/>
  <c r="P72" i="5"/>
  <c r="P73" i="5"/>
  <c r="P74" i="5"/>
  <c r="P75" i="5"/>
  <c r="P76" i="5"/>
  <c r="C31" i="5"/>
  <c r="B32" i="5"/>
  <c r="D32" i="5"/>
  <c r="C32" i="5"/>
  <c r="B33" i="5"/>
  <c r="C33" i="5"/>
  <c r="B34" i="5"/>
  <c r="D34" i="5"/>
  <c r="C34" i="5"/>
  <c r="B35" i="5"/>
  <c r="C35" i="5"/>
  <c r="B37" i="5"/>
  <c r="C37" i="5"/>
  <c r="B43" i="5"/>
  <c r="C43" i="5"/>
  <c r="D43" i="5"/>
  <c r="E43" i="5"/>
  <c r="F43" i="5"/>
  <c r="G43" i="5"/>
  <c r="H43" i="5"/>
  <c r="I43" i="5"/>
  <c r="J43" i="5"/>
  <c r="K43" i="5"/>
  <c r="B44" i="5"/>
  <c r="C44" i="5"/>
  <c r="D44" i="5"/>
  <c r="E44" i="5"/>
  <c r="F44" i="5"/>
  <c r="G44" i="5"/>
  <c r="H44" i="5"/>
  <c r="I44" i="5"/>
  <c r="J44" i="5"/>
  <c r="K44" i="5"/>
  <c r="B45" i="5"/>
  <c r="C45" i="5"/>
  <c r="D45" i="5"/>
  <c r="E45" i="5"/>
  <c r="F45" i="5"/>
  <c r="G45" i="5"/>
  <c r="H45" i="5"/>
  <c r="I45" i="5"/>
  <c r="J45" i="5"/>
  <c r="K45" i="5"/>
  <c r="B46" i="5"/>
  <c r="C46" i="5"/>
  <c r="D46" i="5"/>
  <c r="E46" i="5"/>
  <c r="F46" i="5"/>
  <c r="G46" i="5"/>
  <c r="H46" i="5"/>
  <c r="I46" i="5"/>
  <c r="J46" i="5"/>
  <c r="K46" i="5"/>
  <c r="B47" i="5"/>
  <c r="C47" i="5"/>
  <c r="D47" i="5"/>
  <c r="E47" i="5"/>
  <c r="F47" i="5"/>
  <c r="G47" i="5"/>
  <c r="H47" i="5"/>
  <c r="I47" i="5"/>
  <c r="J47" i="5"/>
  <c r="K47" i="5"/>
  <c r="B48" i="5"/>
  <c r="C48" i="5"/>
  <c r="D48" i="5"/>
  <c r="E48" i="5"/>
  <c r="F48" i="5"/>
  <c r="G48" i="5"/>
  <c r="H48" i="5"/>
  <c r="I48" i="5"/>
  <c r="J48" i="5"/>
  <c r="K48" i="5"/>
  <c r="B49" i="5"/>
  <c r="C49" i="5"/>
  <c r="D49" i="5"/>
  <c r="E49" i="5"/>
  <c r="F49" i="5"/>
  <c r="G49" i="5"/>
  <c r="H49" i="5"/>
  <c r="I49" i="5"/>
  <c r="J49" i="5"/>
  <c r="K49" i="5"/>
  <c r="B13" i="5"/>
  <c r="C13" i="5" s="1"/>
  <c r="B14" i="5"/>
  <c r="C14" i="5" s="1"/>
  <c r="F14" i="5"/>
  <c r="G14" i="5"/>
  <c r="H14" i="5"/>
  <c r="I14" i="5"/>
  <c r="J14" i="5"/>
  <c r="B15" i="5"/>
  <c r="C15" i="5" s="1"/>
  <c r="F15" i="5"/>
  <c r="G15" i="5"/>
  <c r="H15" i="5"/>
  <c r="I15" i="5"/>
  <c r="J15" i="5"/>
  <c r="B16" i="5"/>
  <c r="C16" i="5" s="1"/>
  <c r="B17" i="5"/>
  <c r="C17" i="5" s="1"/>
  <c r="B19" i="5"/>
  <c r="C19" i="5" s="1"/>
  <c r="B20" i="5"/>
  <c r="C20" i="5" s="1"/>
  <c r="G20" i="5"/>
  <c r="H20" i="5"/>
  <c r="I20" i="5"/>
  <c r="G21" i="5"/>
  <c r="H21" i="5"/>
  <c r="I21" i="5"/>
  <c r="H116" i="5" l="1"/>
  <c r="I114" i="5" s="1"/>
  <c r="H31" i="5"/>
  <c r="H34" i="5"/>
  <c r="C38" i="5"/>
  <c r="D38" i="5"/>
  <c r="H32" i="5"/>
  <c r="F38" i="5"/>
  <c r="E38" i="5"/>
  <c r="H37" i="5"/>
  <c r="H35" i="5"/>
  <c r="H33" i="5"/>
  <c r="E98" i="5"/>
  <c r="B98" i="5"/>
  <c r="H98" i="5"/>
  <c r="B50" i="5"/>
  <c r="B84" i="5"/>
  <c r="D50" i="5"/>
  <c r="P77" i="5"/>
  <c r="I50" i="5"/>
  <c r="G50" i="5"/>
  <c r="H50" i="5"/>
  <c r="K50" i="5"/>
  <c r="L45" i="5"/>
  <c r="L46" i="5"/>
  <c r="J50" i="5"/>
  <c r="F50" i="5"/>
  <c r="L47" i="5"/>
  <c r="E50" i="5"/>
  <c r="L48" i="5"/>
  <c r="C50" i="5"/>
  <c r="L49" i="5"/>
  <c r="L43" i="5"/>
  <c r="L44" i="5"/>
  <c r="B38" i="5"/>
  <c r="C7" i="5"/>
  <c r="C3" i="5"/>
  <c r="C4" i="5"/>
  <c r="C5" i="5"/>
  <c r="C6" i="5"/>
  <c r="C2" i="5"/>
  <c r="I112" i="5" l="1"/>
  <c r="I111" i="5"/>
  <c r="I113" i="5"/>
  <c r="I115" i="5"/>
  <c r="I109" i="5"/>
  <c r="I110" i="5"/>
  <c r="H38" i="5"/>
  <c r="C117" i="5" s="1"/>
  <c r="L10" i="5"/>
  <c r="C8" i="5"/>
  <c r="H8" i="5"/>
  <c r="J8" i="5"/>
  <c r="I8" i="5"/>
  <c r="G8" i="5"/>
  <c r="F8" i="5"/>
  <c r="H117" i="5" l="1"/>
  <c r="G117" i="5"/>
  <c r="F117" i="5"/>
  <c r="E117" i="5"/>
  <c r="B117" i="5"/>
  <c r="D117" i="5"/>
  <c r="F9" i="5"/>
  <c r="I9" i="5"/>
  <c r="G9" i="5"/>
  <c r="J9" i="5"/>
  <c r="H9" i="5"/>
  <c r="L2" i="5"/>
  <c r="L3" i="5"/>
  <c r="L4" i="5"/>
  <c r="L5" i="5"/>
  <c r="L6" i="5"/>
  <c r="L7" i="5"/>
  <c r="B39" i="5"/>
  <c r="I38" i="5"/>
  <c r="G39" i="5"/>
  <c r="H39" i="5"/>
  <c r="C39" i="5"/>
  <c r="I32" i="5"/>
  <c r="I34" i="5"/>
  <c r="I31" i="5"/>
  <c r="F39" i="5"/>
  <c r="D39" i="5"/>
  <c r="I37" i="5"/>
  <c r="E39" i="5"/>
  <c r="I36" i="5"/>
  <c r="I35" i="5"/>
  <c r="I33" i="5"/>
  <c r="A50" i="5"/>
  <c r="J51" i="5" s="1"/>
  <c r="M45" i="5" l="1"/>
  <c r="C51" i="5"/>
  <c r="M44" i="5"/>
  <c r="B51" i="5"/>
  <c r="M49" i="5"/>
  <c r="G51" i="5"/>
  <c r="M46" i="5"/>
  <c r="E51" i="5"/>
  <c r="M43" i="5"/>
  <c r="I51" i="5"/>
  <c r="F51" i="5"/>
  <c r="H51" i="5"/>
  <c r="D51" i="5"/>
  <c r="M48" i="5"/>
  <c r="K51" i="5"/>
  <c r="M47" i="5"/>
</calcChain>
</file>

<file path=xl/sharedStrings.xml><?xml version="1.0" encoding="utf-8"?>
<sst xmlns="http://schemas.openxmlformats.org/spreadsheetml/2006/main" count="4371" uniqueCount="1427">
  <si>
    <t>Code</t>
  </si>
  <si>
    <t>Author</t>
  </si>
  <si>
    <t>No</t>
  </si>
  <si>
    <t>Title</t>
  </si>
  <si>
    <t>Publication Year</t>
  </si>
  <si>
    <t>Publication Title</t>
  </si>
  <si>
    <t>Journal Category</t>
  </si>
  <si>
    <t>Language</t>
  </si>
  <si>
    <t>Data Base</t>
  </si>
  <si>
    <t>Research Approach</t>
  </si>
  <si>
    <t>Research Method</t>
  </si>
  <si>
    <t>Education</t>
  </si>
  <si>
    <t>Report Structure</t>
  </si>
  <si>
    <t>Q1</t>
  </si>
  <si>
    <t>Q2</t>
  </si>
  <si>
    <t>Q3</t>
  </si>
  <si>
    <t>Q4</t>
  </si>
  <si>
    <t>N/A</t>
  </si>
  <si>
    <t>Gender</t>
  </si>
  <si>
    <t>English</t>
  </si>
  <si>
    <t>Spanish</t>
  </si>
  <si>
    <t>Scopus</t>
  </si>
  <si>
    <t>WoS</t>
  </si>
  <si>
    <t>ERIC</t>
  </si>
  <si>
    <t>Formal</t>
  </si>
  <si>
    <t>Non-Formal</t>
  </si>
  <si>
    <t>Educational Level</t>
  </si>
  <si>
    <t>Primary Education</t>
  </si>
  <si>
    <t>Teacher Training</t>
  </si>
  <si>
    <t>Higher Education</t>
  </si>
  <si>
    <t>Secondary Education</t>
  </si>
  <si>
    <t>Several</t>
  </si>
  <si>
    <t>Childhood School</t>
  </si>
  <si>
    <t>Qualitative</t>
  </si>
  <si>
    <t>Quantitative</t>
  </si>
  <si>
    <t>Mixed Methods</t>
  </si>
  <si>
    <t>Case Study</t>
  </si>
  <si>
    <t>Exploratory Data Analysis</t>
  </si>
  <si>
    <t>Size Sample</t>
  </si>
  <si>
    <t>Type</t>
  </si>
  <si>
    <t>Duration</t>
  </si>
  <si>
    <t>Keywords</t>
  </si>
  <si>
    <t>Subject Area</t>
  </si>
  <si>
    <t>Notes</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</si>
  <si>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</si>
  <si>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</si>
  <si>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</si>
  <si>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</si>
  <si>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</si>
  <si>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</si>
  <si>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</si>
  <si>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</si>
  <si>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</si>
  <si>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</si>
  <si>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</si>
  <si>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</si>
  <si>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</si>
  <si>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</si>
  <si>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</si>
  <si>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</si>
  <si>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</si>
  <si>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</si>
  <si>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</si>
  <si>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</si>
  <si>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</si>
  <si>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</si>
  <si>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</si>
  <si>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</si>
  <si>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</si>
  <si>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A26</t>
  </si>
  <si>
    <t>A27</t>
  </si>
  <si>
    <t>A28</t>
  </si>
  <si>
    <t>A29</t>
  </si>
  <si>
    <t>A30</t>
  </si>
  <si>
    <t>A31</t>
  </si>
  <si>
    <t>A32</t>
  </si>
  <si>
    <t>A33</t>
  </si>
  <si>
    <t>A34</t>
  </si>
  <si>
    <t>A35</t>
  </si>
  <si>
    <t>A36</t>
  </si>
  <si>
    <t>A37</t>
  </si>
  <si>
    <t>A38</t>
  </si>
  <si>
    <t>A39</t>
  </si>
  <si>
    <t>A40</t>
  </si>
  <si>
    <t>A41</t>
  </si>
  <si>
    <t>A42</t>
  </si>
  <si>
    <t>A43</t>
  </si>
  <si>
    <t>A44</t>
  </si>
  <si>
    <t>A45</t>
  </si>
  <si>
    <t>A46</t>
  </si>
  <si>
    <t>A47</t>
  </si>
  <si>
    <t>A48</t>
  </si>
  <si>
    <t>A49</t>
  </si>
  <si>
    <t>A50</t>
  </si>
  <si>
    <t>A51</t>
  </si>
  <si>
    <t>A52</t>
  </si>
  <si>
    <t>A53</t>
  </si>
  <si>
    <t>A54</t>
  </si>
  <si>
    <t>A55</t>
  </si>
  <si>
    <t>A56</t>
  </si>
  <si>
    <t>A57</t>
  </si>
  <si>
    <t>A58</t>
  </si>
  <si>
    <t>A59</t>
  </si>
  <si>
    <t>A60</t>
  </si>
  <si>
    <t>A61</t>
  </si>
  <si>
    <t>A62</t>
  </si>
  <si>
    <t>A63</t>
  </si>
  <si>
    <t>A64</t>
  </si>
  <si>
    <t>A65</t>
  </si>
  <si>
    <t>A66</t>
  </si>
  <si>
    <t>A67</t>
  </si>
  <si>
    <t>A68</t>
  </si>
  <si>
    <t>A69</t>
  </si>
  <si>
    <t>A70</t>
  </si>
  <si>
    <t>A71</t>
  </si>
  <si>
    <t>A72</t>
  </si>
  <si>
    <t>A73</t>
  </si>
  <si>
    <t>A74</t>
  </si>
  <si>
    <t>A75</t>
  </si>
  <si>
    <t>A76</t>
  </si>
  <si>
    <t>A77</t>
  </si>
  <si>
    <t>A78</t>
  </si>
  <si>
    <t>A79</t>
  </si>
  <si>
    <t>A80</t>
  </si>
  <si>
    <t>A81</t>
  </si>
  <si>
    <t>A82</t>
  </si>
  <si>
    <t>A83</t>
  </si>
  <si>
    <t>A84</t>
  </si>
  <si>
    <t>A85</t>
  </si>
  <si>
    <t>A86</t>
  </si>
  <si>
    <t>A87</t>
  </si>
  <si>
    <t>A88</t>
  </si>
  <si>
    <t>A89</t>
  </si>
  <si>
    <t>A90</t>
  </si>
  <si>
    <t>A91</t>
  </si>
  <si>
    <t>A92</t>
  </si>
  <si>
    <t>Adanali, R.</t>
  </si>
  <si>
    <t>Andersen, R; Rustad, M</t>
  </si>
  <si>
    <t>Baek, Y; Touati, A</t>
  </si>
  <si>
    <t>Baek, Y.; Min, E.; Yun, S.</t>
  </si>
  <si>
    <t>Bailey, C.</t>
  </si>
  <si>
    <t>Caughey, J.; McLean, K.; Edwards, S.</t>
  </si>
  <si>
    <t>Galindo-Domínguez, H.</t>
  </si>
  <si>
    <t>Grobelna, I.; Mazurkiewicz, M.; Janus, D.</t>
  </si>
  <si>
    <t>Hanghoj, T</t>
  </si>
  <si>
    <t>Hobbs, L.; Stevens, C.; Hartley, J.; Hartley, C.</t>
  </si>
  <si>
    <t>Kube, D.; Gombert, S.; John, N.; Weidlich, J.; Kreijns, K.; Drachsler, H.</t>
  </si>
  <si>
    <t>How Geogames Can Support Geographical Education?</t>
  </si>
  <si>
    <t>Minecraft in Education Benefits Learning and Social Engagement</t>
  </si>
  <si>
    <t>Using Minecraft as an educational tool for supporting collaboration as a 21st century skill</t>
  </si>
  <si>
    <t>Comparing Collaborative and Cooperative Gameplay for Academic and Gaming Achievements</t>
  </si>
  <si>
    <t>Mining Educational Implications of Minecraft</t>
  </si>
  <si>
    <t>Visualizing lived experience: mapping the soundscape of an after-school Minecraft club</t>
  </si>
  <si>
    <t>Free the sheep: Improvised song and performance in and around a minecraft community</t>
  </si>
  <si>
    <t>Playing, Mapping, and Power: A Critical Analysis of Using "Minecraft" in Spatial Design</t>
  </si>
  <si>
    <t>Video Games can Increase Creativity, but with Caveats</t>
  </si>
  <si>
    <t>Cognitive and emotional implications of the implementation of a video game for the learning of science content in primary school | Implicaciones cognitivas y emocionales de la implementación de un videojuego para el aprendizaje de contenidos de ciencias e</t>
  </si>
  <si>
    <t>Imagination and sociodramatic play using Minecraft and FaceTime as a digitally-mediated environment</t>
  </si>
  <si>
    <t>Playing in the Virtual Sandbox</t>
  </si>
  <si>
    <t>Designing Learning Activities in Minecraft for Formal Education in Geography</t>
  </si>
  <si>
    <t>‘Redstone is like electricity’: Children’s performative representations in and around Minecraft</t>
  </si>
  <si>
    <t>Digging Deeper: Learning and Re-learning with Student and Teacher Minecraft Communities</t>
  </si>
  <si>
    <t>"Minecraft," Teachers, Parents, and Learning: What They Need to Know and Understand</t>
  </si>
  <si>
    <t>Open-Ended Tasks Promote Creativity in Minecraft</t>
  </si>
  <si>
    <t>Help Students Learn Interpreted Petri Nets with Minecraft</t>
  </si>
  <si>
    <t>Adapting for remote delivery during COVID‐19: Insights from a science engagement project</t>
  </si>
  <si>
    <t>Teaching with Sandbox Games: Minecraft, Game-Based Learning, and 21st Century Competencies</t>
  </si>
  <si>
    <t>Science Hunters: An inclusive approach to engaging with science through Minecraft</t>
  </si>
  <si>
    <t>Shared special interest play in a specific extra-curricular group setting: A Minecraft Club for children with special educational needs</t>
  </si>
  <si>
    <t>Engaging Children from Under-Represented Groups with STEM Using "Minecraft" to Link with the UN SDGs</t>
  </si>
  <si>
    <t>Exploring Coral Reef Conservation in "Minecraft"</t>
  </si>
  <si>
    <t>Socio-(im)material-making activities in Minecraft: retracing digital literacy applied to ESD</t>
  </si>
  <si>
    <t>Raising Real Leaders Using Virtual Worlds: Blending Minecraft, Leadership, and Creativity</t>
  </si>
  <si>
    <t>What's the Math in Minecraft? A Design-Based Study of Students' Perspectives and Mathematical Experiences across Game and School Domains</t>
  </si>
  <si>
    <t>Minecraft Game as a New Opportunity for Teaching Renewable Energy Topics</t>
  </si>
  <si>
    <t>Creating a Virtual World for Mathematics</t>
  </si>
  <si>
    <t>Escaping binary gender roles: Gender diversity dynamics in a CSCL-Escape game</t>
  </si>
  <si>
    <t>Participatory culture as professional development: Preparing teachers to use Minecraft in the classroom</t>
  </si>
  <si>
    <t>Digital Participation, Agency, and Choice: An African American Youth's Digital Storytelling About Minecraft</t>
  </si>
  <si>
    <t>Crafting worldly spaces: The role of the educator in shaping student agency in Minecraft</t>
  </si>
  <si>
    <t>‘I don’t think you’re going to have any aborigines in your world’: Minecrafting terra nullius</t>
  </si>
  <si>
    <t>Educational Games in Practice: The Challenges Involved in Conducting a Game-Based Curriculum</t>
  </si>
  <si>
    <t>Literary Analysis Using Minecraft: An Asian American Youth Crafts Her Literacy Identity</t>
  </si>
  <si>
    <t>Get in the Game: Promoting Justice Through a Digitized Literature Study</t>
  </si>
  <si>
    <t>Mining and crafting a game to teach research methodology</t>
  </si>
  <si>
    <t>Pre-service teachers learn to teach with Serious Games</t>
  </si>
  <si>
    <t>Some Video Games Can Increase the Player's Creativity</t>
  </si>
  <si>
    <t>Two 3D virtual worlds as domain-oriented design environments: closing the educational gap with the action-breakdown-repair model</t>
  </si>
  <si>
    <t>Affective Learning in Digital Education - Case Studies of Social Networking Systems, Games for Learning, and Digital Fabrication</t>
  </si>
  <si>
    <t>You cannot do this alone! Increasing task interdependence in cooperative educational videogames to encourage collaboration</t>
  </si>
  <si>
    <t>Mining Learning and Crafting Scientific Experiments: A Literature Review on the Use of Minecraft in Education and Research</t>
  </si>
  <si>
    <t>Maker culture and "Minecraft": Implications for the Future of Learning</t>
  </si>
  <si>
    <t>The Affordances of Minecraft Education as a Game-Based Learning Tool for Atomic Structure in Junior High School Science Education</t>
  </si>
  <si>
    <t>Designing Inclusive Learning for Twice Exceptional Students in Minecraft</t>
  </si>
  <si>
    <t>Virtual LEGOs: Incorporating Minecraft into the Art Education Curriculum</t>
  </si>
  <si>
    <t>Playing Minecraft: Young children's postdigital play</t>
  </si>
  <si>
    <t>Refrains of Friendship in Young Children's Postdigital Play</t>
  </si>
  <si>
    <t>Romans and rollercoasters: Scholarship in the digital playground</t>
  </si>
  <si>
    <t>Pandemic Minecrafting: an analysis of the perceptions of and lessons learnedfrom a gamified virtual geology field camp</t>
  </si>
  <si>
    <t>Constructing in Minecraft in Primary School as a Boundary-Crossing Practice</t>
  </si>
  <si>
    <t>Exploring Application, Attitudes and Integration of Video Games: MinecraftEdu in Middle School</t>
  </si>
  <si>
    <t>Metaverse and education: the pioneering case of Minecraft in immersive digital learning</t>
  </si>
  <si>
    <t>Com-educational platforms: Creativity and community for learning</t>
  </si>
  <si>
    <t>An ecological perspective on children's play with digital technologies in South Africa and the United Kingdom</t>
  </si>
  <si>
    <t>Teachers’ experiences of using Minecraft Education in primary school: An Irish perspective</t>
  </si>
  <si>
    <t>Primary School Students’ Experiences using Minecraft Education during a National Project-Based Initiative: An Irish Study</t>
  </si>
  <si>
    <t>Online multiplayer games for the social interactions of children with autism spectrum disorder: a resource for inclusive education</t>
  </si>
  <si>
    <t>Using Minecraft to cultivate student interest in STEM</t>
  </si>
  <si>
    <t>The Effect of Minecraft on Learners’ Higher-Order Thinking Skills in Fractional Problem-Solving</t>
  </si>
  <si>
    <t>Evaluating support systems and interface efficiency in Hour of Code’s Minecraft Adventurer</t>
  </si>
  <si>
    <t>The Human Microbiome World</t>
  </si>
  <si>
    <t>Children’s Out-of-School Learning in Digital Gaming Communities</t>
  </si>
  <si>
    <t>Capturing children's knowledge-making dialogues in Minecraft</t>
  </si>
  <si>
    <t>Review of International Geographical Education Online</t>
  </si>
  <si>
    <t>Computers in the Schools</t>
  </si>
  <si>
    <t>Visual Communication</t>
  </si>
  <si>
    <t>Literacy</t>
  </si>
  <si>
    <t>American Journal of Play</t>
  </si>
  <si>
    <t>Creativity Research Journal</t>
  </si>
  <si>
    <t>Revista Eureka</t>
  </si>
  <si>
    <t>Educational Media International</t>
  </si>
  <si>
    <t>E-Learning and Digital Media</t>
  </si>
  <si>
    <t>International Journal of Game-Based Learning</t>
  </si>
  <si>
    <t>International Journal of Emerging Technologies in Learning</t>
  </si>
  <si>
    <t>TESL-EJ</t>
  </si>
  <si>
    <t>School Community Journal</t>
  </si>
  <si>
    <t>Pixel-Bit, Revista de Medios y Educacion</t>
  </si>
  <si>
    <t>Informatics in Education</t>
  </si>
  <si>
    <t>Natural Sciences Education</t>
  </si>
  <si>
    <t>Canadian Journal of Learning and Technology</t>
  </si>
  <si>
    <t>Journal of Science Communication</t>
  </si>
  <si>
    <t>Educational and Child Psychology</t>
  </si>
  <si>
    <t>Primary Science</t>
  </si>
  <si>
    <t>Afterschool Matters</t>
  </si>
  <si>
    <t>Electronic Journal of e-Learning</t>
  </si>
  <si>
    <t>International Journal of Engineering Pedagogy</t>
  </si>
  <si>
    <t>Journal of Education and Training Studies</t>
  </si>
  <si>
    <t>Journal of Computer Assisted Learning</t>
  </si>
  <si>
    <t>TESOL Journal</t>
  </si>
  <si>
    <t>Educational Technology Research and Development</t>
  </si>
  <si>
    <t>Journal of Adolescent and Adult Literacy</t>
  </si>
  <si>
    <t>Review of Education, Pedagogy, and Cultural Studies</t>
  </si>
  <si>
    <t>British Journal of Sociology of Education</t>
  </si>
  <si>
    <t>Multicultural Perspectives</t>
  </si>
  <si>
    <t>International Journal of Educational Technology in Higher Education</t>
  </si>
  <si>
    <t>Journal of STEM Education: Innovations and Research</t>
  </si>
  <si>
    <t>Revista Latina de Comunicacion Social</t>
  </si>
  <si>
    <t>International Journal of Information and Learning Technology</t>
  </si>
  <si>
    <t>Frontiers in Education</t>
  </si>
  <si>
    <t>Journal of Science Education and Technology</t>
  </si>
  <si>
    <t>Art Education</t>
  </si>
  <si>
    <t>Journal of Computer Applications in Archaeology</t>
  </si>
  <si>
    <t>Education Sciences</t>
  </si>
  <si>
    <t>Journal of Information Technology Education: Research</t>
  </si>
  <si>
    <t>Profesional de la Informacion</t>
  </si>
  <si>
    <t>Journal of New Approaches in Educational Research</t>
  </si>
  <si>
    <t>International Journal of Technology in Education and Science</t>
  </si>
  <si>
    <t>Irish Educational Studies</t>
  </si>
  <si>
    <t>TechTrends</t>
  </si>
  <si>
    <t>International Journal of Inclusive Education</t>
  </si>
  <si>
    <t>Anatolian Journal of Education</t>
  </si>
  <si>
    <t>Education and Information Technologies</t>
  </si>
  <si>
    <t>International Journal of Designs for Learning</t>
  </si>
  <si>
    <t>Revista Colombiana de Educacion</t>
  </si>
  <si>
    <t>Designs for Learning</t>
  </si>
  <si>
    <t>Geogame; Geographical Inquiry Skill; Spatial Thinking Skill; Map Skills; Location Based Mobile Games</t>
  </si>
  <si>
    <t>Digital Classrooms; Games-Based Learning; Minecraft; Serious Games; Teaching and Learning</t>
  </si>
  <si>
    <t>Journal of Educational Computing Research</t>
  </si>
  <si>
    <t>21st Century skills; Collaborative learning; Improving classroom teaching; Teaching/learning strategies</t>
  </si>
  <si>
    <t>Computers and Education Open</t>
  </si>
  <si>
    <t>collaborative learning; cooperative learning; game-based learning; gaming achievement; Minecraft</t>
  </si>
  <si>
    <t>Curriculum integration; engagement; knowledgeacquisition; Minecraft</t>
  </si>
  <si>
    <t>analysis; children; digital drawing; lived experience; play; sound; soundscape; visual</t>
  </si>
  <si>
    <t>democracy and public space; marginalized communities; Minecraft; participatory design; power hierarchies; video games</t>
  </si>
  <si>
    <t>Bashandy, H.</t>
  </si>
  <si>
    <t>Alawajee, O.; Delafield-Butt, J.</t>
  </si>
  <si>
    <t>Blanco-Herrera, J. A.; Gentile, D. A.; Rokkum, J. N.</t>
  </si>
  <si>
    <t>Educación Primaria; Videojuegos; Enseñanza de las ciencias; Emociones</t>
  </si>
  <si>
    <t>Alteridad</t>
  </si>
  <si>
    <t>imagination; digital play; children; Minecraft; FaceTime</t>
  </si>
  <si>
    <t>Entornos virtuales para la escritura académica. Un modelo en Minecraft</t>
  </si>
  <si>
    <t>Davis, K.; Boss, J. A.; Meas, P.</t>
  </si>
  <si>
    <t>digital game; education; geogame; geography</t>
  </si>
  <si>
    <t>de Sena, Í. S.; Stachoň, Z.</t>
  </si>
  <si>
    <t>Digital games; games-based learning; digital curatorship; performativity</t>
  </si>
  <si>
    <t>Dezuanni, M.; O’Mara, J.; Beavis, C.</t>
  </si>
  <si>
    <t>Dodgson, D.</t>
  </si>
  <si>
    <t>Minecraft; video games;  learning; parent involvement; teachers;
family literacy; teachers; student engagement; pedagogy; STEM; STEAM</t>
  </si>
  <si>
    <t>Creativity; Minecraft; Problem solving; Educational games; Computer-based learning environments</t>
  </si>
  <si>
    <t>Videogames; Minecraft; Primary Education; Cur- riculum; Program Proposals</t>
  </si>
  <si>
    <t>control systems; education; game-based learning; Petri nets.</t>
  </si>
  <si>
    <t>digital games; dialogic education; educational framing; teacher facilitation; Minecraft</t>
  </si>
  <si>
    <t>Teachers’ framing and dialogic facilitation of Minecraft in the L1 classroom</t>
  </si>
  <si>
    <t>L1-Educational Studies in Language and Literature</t>
  </si>
  <si>
    <t>Fan, Y.; Lane, H. C.; Delialioğlu, Ö.</t>
  </si>
  <si>
    <t>Hartley, J.; Hobbs, L.; Stevens, C.</t>
  </si>
  <si>
    <t>Hébert, C.; Jenson, J.</t>
  </si>
  <si>
    <t>digital game-based learning; 21st century competencies; pedagogy; Minecraft</t>
  </si>
  <si>
    <t>Representations of science and technology; Science education; Social; inclusion</t>
  </si>
  <si>
    <t>Hobbs, L.; Behenna, S.</t>
  </si>
  <si>
    <t>Minecraft; Special Educational Needs; shared special interests; collaborative; play; wellbeing</t>
  </si>
  <si>
    <t>Hobbs, L.; Hartley, C.; Bentley, S.; Bibby, J.; Bowden, L.; Hartley, J.; Stevens, C.</t>
  </si>
  <si>
    <t>Technology; Ecosystems; Constructivism</t>
  </si>
  <si>
    <t>Hobbs, L.; Bentley, S.; Hartley, J.; Stevens, C.; Bolton, T.</t>
  </si>
  <si>
    <t>Impedovo, M.; Cederqvist, A. M.</t>
  </si>
  <si>
    <t>Collaboration; Game-Based Learning; Joint Attention; Middle School; Minecraft; Multiplayer Games</t>
  </si>
  <si>
    <t>Minecraft; game-based learning; mathematics education; domain theory; coordinate system</t>
  </si>
  <si>
    <t>Kersanszki, T.; Holik, I.; Marton, Z.</t>
  </si>
  <si>
    <t>gamification; Minecraft; renewable energy sources</t>
  </si>
  <si>
    <t>Kim, Y. R.; Park, M. S.</t>
  </si>
  <si>
    <t>area; volume; virtual world; Minecraft; technology integration; preservice teachers</t>
  </si>
  <si>
    <t>Triggering STEM Interest With Minecraft in a Hybrid Summer Camp</t>
  </si>
  <si>
    <t>Technology, Mind and Behavior</t>
  </si>
  <si>
    <t>interest development; interest triggering; educational games; informal science learning; engagement</t>
  </si>
  <si>
    <t xml:space="preserve">‘Aboriginal’; ‘Indigenous’; curriculum; Minecraft; terra nullius;
settler colonialism </t>
  </si>
  <si>
    <t xml:space="preserve"> computers in classroom; distraction; gaming literacy; student diversity; teacher roles; challenges of game-based
learning</t>
  </si>
  <si>
    <t>Gamification; MinecraftEDU; Research methodology; South Africa;
Qualitative; Research onion</t>
  </si>
  <si>
    <t>STEM; Minecraft; pre-service; education;
serious games; game-based learning</t>
  </si>
  <si>
    <t>Creativity; Divergent Thinking; Enjoyment; Game Genre; Puzzle Games; Sandbox Games; Torrance Tests of
Creative Thinking (TTCT); Video Games</t>
  </si>
  <si>
    <t>Mørch, A. I.</t>
  </si>
  <si>
    <t>affective learning; collaborative learning; digital education; digital fabrication; maker education; social
networking systems</t>
  </si>
  <si>
    <t>Collaboration;  Educational videogames;  Teaching literacy;  Jigsaw strategy
Interdependence  Learning efficiency</t>
  </si>
  <si>
    <t>Minecraft; Educational videogames; Serious games; Educational research; Educational technology</t>
  </si>
  <si>
    <t>videogames; collaboration; Minecraft; YouTube; maker culture</t>
  </si>
  <si>
    <t>Game-based learning; Educational games; Minecraft Edu; Atomic structure; Constructivism</t>
  </si>
  <si>
    <t>twice exceptional learners; Minecraft; giftedness; inclusive design; virtual worlds; computational thinking</t>
  </si>
  <si>
    <t>Journal of Early Childhood Literacy</t>
  </si>
  <si>
    <t>Early childhood; postdigital; digital technologies; minecraft; play; ethnography;
sociomateriality; computer games</t>
  </si>
  <si>
    <t>sociomateriality; affect; early literacy; digital technology; ethnography</t>
  </si>
  <si>
    <t>Minecraft; Video games; Archaeology; Roman; Digital; ScholarshipPlay</t>
  </si>
  <si>
    <t>Marlatt, R.</t>
  </si>
  <si>
    <t>Kuhn, J.; Stevens, V.</t>
  </si>
  <si>
    <t>Jensen, E. O.; Hanghøj, T.</t>
  </si>
  <si>
    <t>Javorsky, K. H.</t>
  </si>
  <si>
    <t>Geoscience Communication</t>
  </si>
  <si>
    <t>Alfabetización de adultos; alfa-betización informacional; aprendizaje virtual; enseñanza
superior; escritura; vídeojuego</t>
  </si>
  <si>
    <t>Minecraft; boundary crossing; boundary object; qualitative analysis</t>
  </si>
  <si>
    <t>Computer-mediated communication; elementary education; game-based learning; improving classroom teaching;
interactive learning environments; teaching/learning strategies</t>
  </si>
  <si>
    <t>Tonbuloğlu, B.</t>
  </si>
  <si>
    <t>Wernholm, M.</t>
  </si>
  <si>
    <t>Communication; Education; Digital; Creativity; Community</t>
  </si>
  <si>
    <t>Metaverse; Minecraft; Education; Literacy; Educommunication; Digital; Creativity; Empowerment; Virtual reality; Media
literacy; Internet; Learning; Communication; Pedagogy; Videogames.</t>
  </si>
  <si>
    <t>Minecraft; STEM; Digital game-based learning; Scientific creativity</t>
  </si>
  <si>
    <t>Game-based learning; Minecraft; qualitative methods; teachers; school</t>
  </si>
  <si>
    <t>Game-based learning; Minecraft; Project-based learning; Mixed-methods; School</t>
  </si>
  <si>
    <t>Autism spectrum disorder; inclusive education; Minecraft; multimodality; online multiplayer games; supporting social interactions</t>
  </si>
  <si>
    <t>Minecraft; WHIMC world; STEM interest; digital game-based learning; educational
games</t>
  </si>
  <si>
    <t>higher-order thinking skills (HOTS); fractions; Minecraft; digital learning; problem-solving</t>
  </si>
  <si>
    <t>Game-based learning; Minecraft Education Edition; Educational
technology · Lesson planning · Program evaluation</t>
  </si>
  <si>
    <t>Hour of Code; Serious games; Programming; Support; User interface</t>
  </si>
  <si>
    <t>attention to diversity; English class; innovation; motivation to learn; video game</t>
  </si>
  <si>
    <t>children; digital communities; learning; Minecraft; Wenger</t>
  </si>
  <si>
    <t>Minecraft; gaming; ethnography;digital technology;other-object- and self-regulation</t>
  </si>
  <si>
    <t>Country</t>
  </si>
  <si>
    <t>Opinion article</t>
  </si>
  <si>
    <t>Literature Review</t>
  </si>
  <si>
    <t>Theoretical Framework</t>
  </si>
  <si>
    <t>Other</t>
  </si>
  <si>
    <t>F</t>
  </si>
  <si>
    <t>M</t>
  </si>
  <si>
    <t>Plugged</t>
  </si>
  <si>
    <t>Unplugged</t>
  </si>
  <si>
    <t>Quasi-experimental</t>
  </si>
  <si>
    <t>Experimental Study</t>
  </si>
  <si>
    <t>DBR</t>
  </si>
  <si>
    <t>Survey Questionnaire</t>
  </si>
  <si>
    <t>Ethnographic</t>
  </si>
  <si>
    <t>Descriptive</t>
  </si>
  <si>
    <t>Yes</t>
  </si>
  <si>
    <t>Linguistics and Language</t>
  </si>
  <si>
    <t>Journal Country</t>
  </si>
  <si>
    <t>Turkey</t>
  </si>
  <si>
    <t>Social Sciences</t>
  </si>
  <si>
    <t>Q Level (2023)</t>
  </si>
  <si>
    <t>United States</t>
  </si>
  <si>
    <t>United Kingdom</t>
  </si>
  <si>
    <t>Arts and Hummanities</t>
  </si>
  <si>
    <t>Visual Arts and Performing Arts</t>
  </si>
  <si>
    <t>Psychology</t>
  </si>
  <si>
    <t>Clinical Psychology</t>
  </si>
  <si>
    <t>Developmental and Educational Psychology</t>
  </si>
  <si>
    <t>Spain</t>
  </si>
  <si>
    <t>E-Learning</t>
  </si>
  <si>
    <t>Canada</t>
  </si>
  <si>
    <t>Sweden</t>
  </si>
  <si>
    <t>Switzerland</t>
  </si>
  <si>
    <t>Communication</t>
  </si>
  <si>
    <t>Taiwan</t>
  </si>
  <si>
    <t>Germany</t>
  </si>
  <si>
    <t>Earth and Planetary Sciences</t>
  </si>
  <si>
    <t>Earth and Planetary Sciences (miscellaneous)</t>
  </si>
  <si>
    <t>Lithuania</t>
  </si>
  <si>
    <t>Netherlands</t>
  </si>
  <si>
    <t>Austria</t>
  </si>
  <si>
    <t>International Journal of Play</t>
  </si>
  <si>
    <t>Archeology (arts and humanities)</t>
  </si>
  <si>
    <t>Journal of Literacy Research</t>
  </si>
  <si>
    <t>Italy</t>
  </si>
  <si>
    <t>Belgium</t>
  </si>
  <si>
    <t>Cultural Studies</t>
  </si>
  <si>
    <t>Norway</t>
  </si>
  <si>
    <t>Research in Science and Technological Education</t>
  </si>
  <si>
    <t>International Journal of E-Learning and Distance Education</t>
  </si>
  <si>
    <t>International Journal of Research and Method in Education</t>
  </si>
  <si>
    <t>Educational Technology and Society</t>
  </si>
  <si>
    <t>Colombia</t>
  </si>
  <si>
    <t>Lane, H. C.; Gadbury, M.; Ginger, J.; Yi, S.; Comins, N.; Henhapl, J.; Rivera-Rogers, A.</t>
  </si>
  <si>
    <t>Villafuerte, J.</t>
  </si>
  <si>
    <t>Socio-materiality; making
activities; virtual; STEM; ESD</t>
  </si>
  <si>
    <t>Snowball</t>
  </si>
  <si>
    <t>Andrade, B. D.; Poplin, A.; Sena, Í. S. D.</t>
  </si>
  <si>
    <t>Minecraft as a Tool for Engaging Children in Urban Planning: A Case Study in Tirol Town, Brazil</t>
  </si>
  <si>
    <t>ISPRS International Journal of Geo-Information</t>
  </si>
  <si>
    <t>geogames; urban planning; children’s engagement; Minecraft</t>
  </si>
  <si>
    <t>Experience</t>
  </si>
  <si>
    <t>FAMECOS</t>
  </si>
  <si>
    <t>Petry, A.</t>
  </si>
  <si>
    <t>Playing in Minecraft: An exploratory study 1</t>
  </si>
  <si>
    <t>Video Games; Immaterial labour; Entertainment</t>
  </si>
  <si>
    <t>Geography, Planning and Development</t>
  </si>
  <si>
    <t>Minecraft; self-access learning; community of inquiry</t>
  </si>
  <si>
    <t>Self-access learning and Minecraft: Observations and student perceptions</t>
  </si>
  <si>
    <t>JAT CALL Journal</t>
  </si>
  <si>
    <t>Japan</t>
  </si>
  <si>
    <t>Australia</t>
  </si>
  <si>
    <t>Digital citizenship through game design in Minecraft</t>
  </si>
  <si>
    <t>Hill, V.</t>
  </si>
  <si>
    <t>New Library World</t>
  </si>
  <si>
    <t>Information literacy; Virtual worlds; Game design; Digital citizenship; Minecraft;
Technology clubs</t>
  </si>
  <si>
    <t>Craft, J.</t>
  </si>
  <si>
    <t>Rebuilding an Empire with Minecraft: Bringing the Classics into the Digital Space</t>
  </si>
  <si>
    <t>The Classical Journal</t>
  </si>
  <si>
    <t>Can playing Minecraft improve teenagers’ information literacy?</t>
  </si>
  <si>
    <t>Bebbington, S.; Vellino, A</t>
  </si>
  <si>
    <t>Journal of Information Literacy</t>
  </si>
  <si>
    <t>Minecraft as a Creative Tool: A Case Study</t>
  </si>
  <si>
    <t>Cipollone, M.; Schifter, C. C.; Moffat, R. A.</t>
  </si>
  <si>
    <t>video games; learning; constructionism; English Literature curriculum; Minecraft</t>
  </si>
  <si>
    <t>Cilauro, R</t>
  </si>
  <si>
    <t>Community building through a public library Minecraft Gaming Day</t>
  </si>
  <si>
    <t>The Australian Library Journal</t>
  </si>
  <si>
    <t>Minecraft; community programs; youth services</t>
  </si>
  <si>
    <t>Library and Information Sciences</t>
  </si>
  <si>
    <t>Teaching and Teacher Education</t>
  </si>
  <si>
    <t>Standards, engagement, and Minecraft: Optimizing experiences in language teacher education</t>
  </si>
  <si>
    <t>Egbert, J.; Borysenko, N.</t>
  </si>
  <si>
    <t>Arts and Humanities</t>
  </si>
  <si>
    <t>Classics</t>
  </si>
  <si>
    <t>Objective</t>
  </si>
  <si>
    <t>Empirical Study</t>
  </si>
  <si>
    <t>South Korea</t>
  </si>
  <si>
    <t>Limitations</t>
  </si>
  <si>
    <t>MinecraftEDU</t>
  </si>
  <si>
    <t>International</t>
  </si>
  <si>
    <t>Non-formal</t>
  </si>
  <si>
    <t>Science</t>
  </si>
  <si>
    <t>Creative</t>
  </si>
  <si>
    <t>Czech Republic</t>
  </si>
  <si>
    <t>Pocket Edition</t>
  </si>
  <si>
    <t>Java Edition</t>
  </si>
  <si>
    <t>Bedrock Edition</t>
  </si>
  <si>
    <t>Education Edition</t>
  </si>
  <si>
    <t>Survival</t>
  </si>
  <si>
    <t>Adventure</t>
  </si>
  <si>
    <t>Poland</t>
  </si>
  <si>
    <t>Denmark</t>
  </si>
  <si>
    <t>Literature Synthesis</t>
  </si>
  <si>
    <t>The need for more concrete data to support findings in this emerging academic discipline is noted.</t>
  </si>
  <si>
    <t>Pedagogical insights into the use of Minecraft within educational settings</t>
  </si>
  <si>
    <t>Studies in Informatics and Control</t>
  </si>
  <si>
    <t>Journal of Student Research</t>
  </si>
  <si>
    <t>Minecraft; gamification learning; education; pedagogy; research; teachers and students</t>
  </si>
  <si>
    <t>International Journal of Innovation in Science and Mathematics Education</t>
  </si>
  <si>
    <t>Using Minecraft in the science classroom</t>
  </si>
  <si>
    <t>Nguyen, J.</t>
  </si>
  <si>
    <t>Minecraft and the Building Blocks of Creative Individuality</t>
  </si>
  <si>
    <t>Configurations</t>
  </si>
  <si>
    <t>Minecraft Comes to Math Class</t>
  </si>
  <si>
    <t>Mathematics Teaching in the Middle School</t>
  </si>
  <si>
    <t>In-Game Minecraft Quests for Elementary Education</t>
  </si>
  <si>
    <t>Mail, T. M.</t>
  </si>
  <si>
    <t>International Journal for Innovation Education and Research</t>
  </si>
  <si>
    <t>Integración pedagógica de la aplicación MinecraftEdu en educación primaria: Un estudio de caso</t>
  </si>
  <si>
    <t>Discovery learning; game based learning; gamification; microblogs; serious games</t>
  </si>
  <si>
    <t>Videogames in the multidisciplinary development of Primary Education curriculum: The Minecraft case</t>
  </si>
  <si>
    <t>Aplicaciones educativas de los videojuegos: una propuesta didáctica con Minecraft para el aula de ciencias</t>
  </si>
  <si>
    <t>Revista Internacional de Aprendizaje y Cibersociedad</t>
  </si>
  <si>
    <t>Educational Games; ICT; Learning; Creativity; Sciencie</t>
  </si>
  <si>
    <t>Press Start, the videogames as a educational way: a study proposal with Minecraft
and Social Sciences</t>
  </si>
  <si>
    <t>videogames; education; gamification; game-based learning; significant learning;
multimedia contents; TIC; motivation</t>
  </si>
  <si>
    <t>Guevara, J. M</t>
  </si>
  <si>
    <t>Ellison, L.; Evans, J. N.</t>
  </si>
  <si>
    <t>Ellison, L.</t>
  </si>
  <si>
    <t>Moore, K.</t>
  </si>
  <si>
    <t>An Exploration In The Use Of Minecraft To Teach Digital Logic To Secondary School Students</t>
  </si>
  <si>
    <t>International Journal of Information Technology , Engineering and Sciences</t>
  </si>
  <si>
    <t>Analytical and logical thinking; Minecraft; digital logic</t>
  </si>
  <si>
    <t>Minecraft Education Edition's Ability to Create an Effective and Engaging Learning Experience</t>
  </si>
  <si>
    <t>Hewett, K.; Zeng, G.; Pletcher, B.</t>
  </si>
  <si>
    <t>Minecraft; 21st-century skills; Educational Model; video games</t>
  </si>
  <si>
    <t>Using Minecraft to engage children with science at public events</t>
  </si>
  <si>
    <t>science communication; informal learning; Minecraft; environmental science</t>
  </si>
  <si>
    <t>Research for All</t>
  </si>
  <si>
    <t>Science Hunters: Teaching Science Concepts in Schools Using Minecraft</t>
  </si>
  <si>
    <t>Action Research and Innovation in Science Education</t>
  </si>
  <si>
    <t>Creativity in online gaming: Individual and dyadic performance in Minecraft</t>
  </si>
  <si>
    <t>To explore the role of soundscapes in the social and educational interactions of children within an after-school Minecraft club.</t>
  </si>
  <si>
    <t>Minecraft is used as a collaborative tool in educational settings to facilitate social interactions; soundscapes within Minecraft play sessions help shape the educational experience by influencing how children interact and perceive their environment.</t>
  </si>
  <si>
    <t>Architecture</t>
  </si>
  <si>
    <t>Geography</t>
  </si>
  <si>
    <t>STEM</t>
  </si>
  <si>
    <t>Kuhn, J.</t>
  </si>
  <si>
    <t>Minecraft: Education Edition</t>
  </si>
  <si>
    <t>CALL; Games; Learning</t>
  </si>
  <si>
    <t>CALICO Journal</t>
  </si>
  <si>
    <t>Mathematics</t>
  </si>
  <si>
    <t>Hungary</t>
  </si>
  <si>
    <t>Significant improvements in students' understanding of renewable energy topics, with an increase in correct questionnaire responses from 47.33% to 56% by the end of the camp; students demonstrated enhanced collaboration skills, showing better adaptation to group tasks and an increase in proactive contributions to problem-solving within the team; the integration of Minecraft into the educational process effectively increased students’ motivation and engagement, as evidenced by their active participation and positive feedback on the learning experience</t>
  </si>
  <si>
    <t>To utilize Minecraft as a tool to enhance understanding and skills in renewable energy among younger students, incorporating experiential learning to increase motivation and engagement.</t>
  </si>
  <si>
    <t>Small sample size and lack of a control group, suggesting that while the initial findings are promising, further research with a larger cohort and varied educational settings is needed to generalize the results.</t>
  </si>
  <si>
    <t>To explore how the use of Minecraft can support the development of preservice teachers’ knowledge for teaching mathematics, focusing on geometry concepts like area and volume.</t>
  </si>
  <si>
    <t>Preservice teachers found the Minecraft activity beneficial for understanding and teaching mathematical concepts through visualization and interaction. They developed knowledge from content knowledge to pedagogical and instructional practice knowledge.</t>
  </si>
  <si>
    <t>The study mainly relies on self-reported perceptions of the preservice teachers without a control group or quantitative measures of learning outcomes.</t>
  </si>
  <si>
    <t>Bos, B; Wilder, L; Cook, M.</t>
  </si>
  <si>
    <t>Learning mathematics through Minecraft</t>
  </si>
  <si>
    <t>Teaching Children Mathematics</t>
  </si>
  <si>
    <t xml:space="preserve">Children and Minecraft: A survey of children’s digital play </t>
  </si>
  <si>
    <t>Children; digital games; digital play; gender; Minecraft; survey; tablet devices</t>
  </si>
  <si>
    <t>Games and Culture</t>
  </si>
  <si>
    <t>New Media and Society</t>
  </si>
  <si>
    <t>Minecraft; labor; postcolonial; empire; economics; race; neoliberal</t>
  </si>
  <si>
    <t>Dooghan, D.</t>
  </si>
  <si>
    <t>Digital Conquerors: Minecraft and the Apologetics of Neoliberalism</t>
  </si>
  <si>
    <t>Mathematics; Geography; History</t>
  </si>
  <si>
    <t>South Africa</t>
  </si>
  <si>
    <t>Creativity</t>
  </si>
  <si>
    <t>Minecraft can be frustrating to players, and that might have both good and bad effects. While it may challenge some players to work harder to learn faster and perform better, and so motivate greater problem solving abilities; it may also induce negative affect that could undermine any sense of flow, and thus creativity.</t>
  </si>
  <si>
    <t>Learning; self-efficacy; engagement; participation; Minecraft.</t>
  </si>
  <si>
    <t>Learning self-efficacy, academic engagement and participation in Minecraft: opportunities of the game in communication sciences teaching</t>
  </si>
  <si>
    <t>Enhanced learning outcomes in both factual knowledge and spatial orientation tasks; higher cognitive load and mental effort noted, but with increased learning efficiency.</t>
  </si>
  <si>
    <t>Main Results</t>
  </si>
  <si>
    <t>Constructivism</t>
  </si>
  <si>
    <t>Urban Planning</t>
  </si>
  <si>
    <t>Students use Minecraft to redesign a town, simulating urban planning activities</t>
  </si>
  <si>
    <t>Urban Planning; Environmental Education</t>
  </si>
  <si>
    <t>Critical thinking, Problem-solving, Collaboration</t>
  </si>
  <si>
    <t>Benefits: Increased motivation, engagement, spatial thinking skills, geographic inquiry skills.
Detriments: Potential lack of access to necessary technology.</t>
  </si>
  <si>
    <t>Technological requirements, Need for expert teachers, Limited evidence of learning outcomes</t>
  </si>
  <si>
    <t>To explore how Geogames can support geographical education by enhancing geographic skills and spatial thinking.</t>
  </si>
  <si>
    <t xml:space="preserve">Geogames can effectively teach physical and human geography, enhance spatial thinking, geographic inquiry, map skills, and increase motivation and collaborative work among students. </t>
  </si>
  <si>
    <t>Collaborative Learning</t>
  </si>
  <si>
    <t>Building structures, exploring historical events, and creating narratives.</t>
  </si>
  <si>
    <t>Science, History, Language Learning, and Programming.</t>
  </si>
  <si>
    <t>Creativity, Critical Thinking, Communication, and Collaboration.</t>
  </si>
  <si>
    <t>Minecraft increases motivation, engagement, creativity, and social skills.</t>
  </si>
  <si>
    <t>Age-appropriateness, safety, technology dependence, and the generalization of learning outcomes.</t>
  </si>
  <si>
    <t>To systematically review the evidence for and against the use of Minecraft in educational settings to better understand its applicability.</t>
  </si>
  <si>
    <t>Minecraft can be beneficial for motivation, language development, and academic learning, as well as for developing social skills. However, there are concerns about its suitability for all age groups, safety, and the generalization of learning outcomes.</t>
  </si>
  <si>
    <t>The main limitations of the research include the small sample sizes, varying research methodologies, and the potential for publication bias.</t>
  </si>
  <si>
    <t>Sociocultural Learning Theory.</t>
  </si>
  <si>
    <t>Social Studies, Mathematics, and History.</t>
  </si>
  <si>
    <t>Collaboration, Communication, and Creative Thinking.</t>
  </si>
  <si>
    <t>To Investigate How Minecraft Can Enhance Collaboration as a 21st Century Skill in Primary Schools.</t>
  </si>
  <si>
    <t>Technical Difficulties, Limited Generalizability, and Dependence on Teacher Facilitation.</t>
  </si>
  <si>
    <t>Project-Based Learning</t>
  </si>
  <si>
    <t>Building models of biological structures in science, creating historical replicas in social science, and writing in-game books for language arts</t>
  </si>
  <si>
    <t>Science, Math, Social Sciences, and Language Arts</t>
  </si>
  <si>
    <t>Critical Thinking, Collaboration, Creativity, and Digital Literacy</t>
  </si>
  <si>
    <t>Minecraft can increase student engagement, motivation, and learning by providing a hands-on, immersive learning environment</t>
  </si>
  <si>
    <t>Potential distractions, the steep learning curve for teachers, and varying levels of digital literacy among students</t>
  </si>
  <si>
    <t xml:space="preserve">Minecraft can be effectively integrated into different subjects, enhancing student engagement, motivation, and learning. </t>
  </si>
  <si>
    <t>Lack of well-established theoretical frameworks and the predominance of qualitative over quantitative studies</t>
  </si>
  <si>
    <t>Collaborative Learning, Cooperative Learning</t>
  </si>
  <si>
    <t>Building traditional Korean houses in Minecraft</t>
  </si>
  <si>
    <t>Collaboration, Critical thinking, and Digital literacy</t>
  </si>
  <si>
    <t>Minecraft can be an effective tool for learning, enhancing engagement, and improving social and academic outcomes through collaborative and cooperative gameplay.</t>
  </si>
  <si>
    <t>Lack of qualitative analysis, potential cultural biases due to the nationality of the participants, and the exclusion of gender differences in individual gaming achievements</t>
  </si>
  <si>
    <t>Results indicate that collaborative groups had higher gaming achievements than cooperative groups; females had higher academic achievement in collaborative conditions, while males had higher academic achievement in cooperative conditions; males showed more positive feelings towards group work than females</t>
  </si>
  <si>
    <t>Players create a virtual community</t>
  </si>
  <si>
    <t>The document suggests that Minecraft offers rich opportunities for teaching and learning, fostering creativity, and enabling meaningful social interaction</t>
  </si>
  <si>
    <t>Sound shapes social space and experience, and that interpretative, visual responses to soundscape data can add value to otherwise purely written or purely sonic accounts</t>
  </si>
  <si>
    <t>The focus on a small group of children in a specific context may limit the generalizability of the findings. Additionally, the absence of children's direct involvement in the interpretative analysis process could be considered a limitation.</t>
  </si>
  <si>
    <t>To explore how improvised singing during Minecraft gameplay contributes to the children's social interactions and digital play</t>
  </si>
  <si>
    <t>The study finds that improvised singing, like the song "Free the Sheep," plays a significant role in the children's social interactions, providing a means of playful expression and collaboration. The song emerged from in-game events and influenced both virtual and physical interactions. The children's performances were characterized by enjoyment, parody, and social engagement, highlighting the importance of considering such activities in understanding children's digital play.</t>
  </si>
  <si>
    <t>Small sample size and the specific context, which may limit the generalizability of the findings. Additionally, the absence of children's direct involvement in the interpretative analysis process could be considered a limitation.</t>
  </si>
  <si>
    <t>Redesign public spaces by creating digital models and collaborating on urban design projects.</t>
  </si>
  <si>
    <t>Creativity; Collaboration; Problem-solving</t>
  </si>
  <si>
    <t>Minecraft can democratize space making and aid in community mapping. Benefits include engaging marginalized communities and providing a platform for creative expression. Detriments include power imbalances, accessibility issues, and the potential for Minecraft's game mechanics to reinforce systemic exclusions.</t>
  </si>
  <si>
    <t>Accessibility issues due to the need for digital devices and software.</t>
  </si>
  <si>
    <t>To critically analyze the use of Minecraft as a tool for participatory urban design and community mapping, with a focus on power dynamics, accessibility, and the effectiveness of the Block by Block projects.</t>
  </si>
  <si>
    <t>Minecraft can facilitate community engagement and creative design in urban planning. Significant power imbalances and accessibility issues limit its effectiveness. Institutional forces and budget constraints often overshadow participant input. The final designs frequently differ from participants' original concepts.</t>
  </si>
  <si>
    <t>The reliance on Minecraft as the primary tool for participatory design. Limited transparency and consistency in data reporting by the Block by Block Foundation. Challenges in participant engagement and sustaining involvement over long project durations.</t>
  </si>
  <si>
    <t>Participants either played Minecraft without specific goals or with the instruction to "be creative." They engaged in survival mode, gathering resources and facing in-game challenges</t>
  </si>
  <si>
    <t>Minecraft’s open-world design and lack of specific instructions can foster creativity by encouraging players to come up with their own goals and problem-solving strategies</t>
  </si>
  <si>
    <t>To test whether playing Minecraft could benefit players' creativity and compare these effects to those of other activities like watching TV or playing another video game</t>
  </si>
  <si>
    <t>Players assigned to play Minecraft without instructions demonstrated significantly higher creativity scores compared to those who played with instructions, played NASCAR, or watched TV; The positive correlation between video game habits and creativity suggests that creative video games can have beneficial effects on creativity; The way the game is played (with or without specific instructions) significantly impacts creativity outcomes</t>
  </si>
  <si>
    <t>The study is limited by its reliance on a college-aged sample, which may not be representative of the general population.
The 2-minute time limit for some creativity tasks might not allow for substantial creative thinking. The Remote Association Test (RAT) showed a floor effect, limiting its sensitivity to detect differences between conditions</t>
  </si>
  <si>
    <t>Game-Based Learning</t>
  </si>
  <si>
    <t>Students explored a Minecraft-designed labyrinth of questions related to the human skeleton, earning diamonds or emeralds for correct answers</t>
  </si>
  <si>
    <t>To analyze the cognitive and emotional implications of using a Minecraft video game to teach science content in primary education, specifically focusing on the human skeleton</t>
  </si>
  <si>
    <t>The experimental group using the Minecraft video game showed significantly higher cognitive gains compared to the control group using traditional methods; The experimental group experienced more positive emotions and fewer negative emotions compared to the control group</t>
  </si>
  <si>
    <t>The study was limited by its quasi-experimental design, the specific content area (human skeleton), and the age group (9 to 12 years old), suggesting that further research is needed to generalize the findings</t>
  </si>
  <si>
    <t>Combined</t>
  </si>
  <si>
    <t>Sociodramatic Play</t>
  </si>
  <si>
    <t>Children engaged in various activities, such as horse-riding adventures, exploring caves and villages, and mining diamonds</t>
  </si>
  <si>
    <t xml:space="preserve">Creativity; Collaboration </t>
  </si>
  <si>
    <t>Minecraftcan support imaginative play and that such play is beneficial for cognitive and social development</t>
  </si>
  <si>
    <t xml:space="preserve">To explore how children use imagination in digitally-mediated environments to engage in sociodramatic play and how this can be supported by adults </t>
  </si>
  <si>
    <t>Life experiences in real and virtual worlds inspire products of imagination; Products of imagination in a virtual world connect to reality in meaningful ways; Emotional connections are made to products of imagination in a virtual world; Products of imagination in a virtual world manifest in intangible and tangible ways</t>
  </si>
  <si>
    <t>Small sample size, the specific age group studied, and the short duration of the study, which may limit the generalizability of the findings</t>
  </si>
  <si>
    <t>Students worked together to build a summer camp in Minecraft, engaging in tasks such as constructing buildings, creating paths, and decorating the environment</t>
  </si>
  <si>
    <t>Collaboration; Communication</t>
  </si>
  <si>
    <t>Minecraft can support and enhance collaborative learning by providing opportunities for social interaction and coordinated action</t>
  </si>
  <si>
    <t>Minecraft as a teaching tool can enhance both cognitive and emotional learning outcomes by making learning more engaging and interactive</t>
  </si>
  <si>
    <t>The main objective was to investigate the collaborative processes of middle school students playing Minecraft and identify factors that contribute to effective collaboration</t>
  </si>
  <si>
    <t>Prior social ties and gaming experience significantly influenced the quality of collaboration; Effective collaboration was characterized by frequent use of content statements, questions, and responses; Groups with strong social ties and balanced gaming experience demonstrated higher levels of joint attention and task focus</t>
  </si>
  <si>
    <t>Participants explored virtual representations of different climate zones, interacted with NPCs, answered questions, and collected samples related to the climate zones</t>
  </si>
  <si>
    <t>Problem-Solving, Spatial Thinking, Collaboration</t>
  </si>
  <si>
    <t>Minecraft's immersive environment can enhance learning by providing engaging and interactive ways to explore geographical concepts</t>
  </si>
  <si>
    <t xml:space="preserve">To design and test learning activities in Minecraft for teaching global climate zones in formal geography education </t>
  </si>
  <si>
    <t>Minecraft's aesthetics and mechanics effectively supported the representation of climate zones and engaged students in the learning tasks; Participants' previous experience with Minecraft influenced their interaction and performance in the tasks.; The iterative design process helped refine the learning activities, making them more engaging and educational</t>
  </si>
  <si>
    <t>The study is limited by its small sample size and the need for further testing with the actual target audience (K-12 students) to validate the findings</t>
  </si>
  <si>
    <t>Participants engaged in building structures, solving in-game challenges, and exploring the virtual environment both individually and collaboratively</t>
  </si>
  <si>
    <t>Creativity, Collaboration, Digital Literacy; Social Skills</t>
  </si>
  <si>
    <t>Minecraft provides opportunities for identity construction, social interaction, and learning through digital curation and performativity</t>
  </si>
  <si>
    <t>to investigate how 8- and 9-year-old girls use Minecraft to construct and perform identities through digital and social interactions in classroom and home settings</t>
  </si>
  <si>
    <t>Students used Minecraft to display their knowledge and expertise, gaining recognition within their social groups; Digital gameplay and associated discussions were integral to identity construction and learning; Practices of digital curatorship, such as creating and sharing in-game achievements, played a key role in the students' social and educational experiences</t>
  </si>
  <si>
    <t>Its focus on a small, specific sample and the unique context of the participating school, suggesting that further research is needed to generalize the findings to other settings and populations</t>
  </si>
  <si>
    <t>Project-Based Learning, Collaborative Learning</t>
  </si>
  <si>
    <t>Language Learning (English)</t>
  </si>
  <si>
    <t>Collaboration, Communication, Creativity, Problem-Solving, Resilience</t>
  </si>
  <si>
    <t>Students create guides, collaborate on projects, engage in survival gameplay, and build structures.</t>
  </si>
  <si>
    <t>Minecraft facilitates motivation and engagement in learning; offers a safe space for trial and error; promotes collaboration and communication.</t>
  </si>
  <si>
    <t>Need for teacher familiarity with the game; varying levels of student experience</t>
  </si>
  <si>
    <t>To explore the educational potential of Minecraft, particularly in teaching English as a Second Language.</t>
  </si>
  <si>
    <t>Minecraft engages students and motivates them to communicate and collaborate; The game offers a safe environment for learning through trial and error; Community and collaboration are key components of successful learning with Minecraft; Both teachers and students benefit from participating in Minecraft communities and MOOCs.</t>
  </si>
  <si>
    <t>Challenges with teacher and parent understanding; potential for distraction; the need for proper integration into the curriculum.</t>
  </si>
  <si>
    <t>To explore and present the educational benefits of Minecraft and provide practical strategies for teachers to integrate the game into their classroom instruction.</t>
  </si>
  <si>
    <t>The article identifies six effective principles for using Minecraft in classrooms, emphasizes its benefits for student engagement and learning, and provides practical classroom approaches for teachers. It also presents a handout for teachers to share with parents to support their children's learning with Minecraft.</t>
  </si>
  <si>
    <t>It highlights the need for more research on the impact of Minecraft in educational settings and addresses the challenge of bridging the understanding gap among teachers and parents.</t>
  </si>
  <si>
    <t>Minecraft enhances creativity, problem-solving, and critical thinking skills; fosters collaboration; increases student engagement; supports learning in various content areas.</t>
  </si>
  <si>
    <t>Creativity, Collaboration, Critical Thinking, Problem-Solving, Digital Literacy</t>
  </si>
  <si>
    <t>STEM, STEAM, ELA, History, Social Studies, Special Education</t>
  </si>
  <si>
    <t>Students create and manipulate virtual worlds, solve math problems using game blocks, write a constitution for virtual colonies, build 3D models of scientific concepts, etc.</t>
  </si>
  <si>
    <t>Participants built structures, specifically houses, either by following instructions (well-defined task) or using their own creativity (open-ended task).</t>
  </si>
  <si>
    <t>Creativity; Problem-solving</t>
  </si>
  <si>
    <t>Minecraft can be an effective tool for promoting creativity and problem-solving skills in educational settings.</t>
  </si>
  <si>
    <t>To investigate the impact of open-ended tasks on creativity in Minecraft and to compare it with well-defined tasks.</t>
  </si>
  <si>
    <t>Participants in the open-ended task received significantly higher CAT scores than those in the well-defined task; interest in Minecraft significantly influenced creativity scores.</t>
  </si>
  <si>
    <t>Short duration of the study, acceptable but not ideal inter-rater reliability, lack of a pre-post test design, and potential bias due to participants' prior interest and experience with Minecraft.</t>
  </si>
  <si>
    <t>Activities include exploring biomes, creating energy circuits, building historical structures, and designing 3D representations of 2D plans.</t>
  </si>
  <si>
    <t>Science, Social Studies, Mathematics, and Arts.</t>
  </si>
  <si>
    <t>Creativity, Problem-Solving, Collaboration, Digital Literacy, and Critical Thinking.</t>
  </si>
  <si>
    <t>Minecraft benefits learning by fostering creativity, flexibility, problem-solving skills, and digital literacy.</t>
  </si>
  <si>
    <t>The need for teachers to have sufficient technological resources and training, as well as the potential lack of direct impact on academic performance.</t>
  </si>
  <si>
    <t>To compile and recommend various educational activities using Minecraft that align with the primary education curriculum.</t>
  </si>
  <si>
    <t>Identification of relevant educational activities across various subjects, showcasing the interdisciplinary potential of Minecraft in primary education.</t>
  </si>
  <si>
    <t>Scarcity of concrete solutions available online and the need for additional research on the educational impact of Minecraft.</t>
  </si>
  <si>
    <t>Students created Petri net models and connected them to control processes within Minecraft.</t>
  </si>
  <si>
    <t>Control Systems; Computer Science</t>
  </si>
  <si>
    <t>Problem-solving; Critical thinking; Digital literacy.</t>
  </si>
  <si>
    <t>Minecraft makes learning more engaging and helps students understand complex concepts.</t>
  </si>
  <si>
    <t>The need for prior knowledge of Minecraft.</t>
  </si>
  <si>
    <t>To evaluate the effectiveness of using Minecraft to teach interpreted Petri nets.</t>
  </si>
  <si>
    <t>Students who used Minecraft had better test scores and found the course more enjoyable.</t>
  </si>
  <si>
    <t>Small control group size and the voluntary nature of participation, which may affect the generalizability of the results.</t>
  </si>
  <si>
    <t>Students explore the island, find and craft resources, build constructions, take screenshots, and write diaries based on their experiences.</t>
  </si>
  <si>
    <t>Project-Based Learning; Collaborative Learning</t>
  </si>
  <si>
    <t>Literature; Language Arts</t>
  </si>
  <si>
    <t>Collaboration; Creativity; Communication</t>
  </si>
  <si>
    <t>Engagement in literacy activities, meaningful integration with curricular aims; Detriments: Demands on teachers to facilitate complex games</t>
  </si>
  <si>
    <t>Teacher Familiarity with the Game; Curriculum Inflexibility</t>
  </si>
  <si>
    <t>To explore how literacy teachers frame specific game challenges and facilitate dialogue with students in the context of using Minecraft in L1 education.</t>
  </si>
  <si>
    <t>Teachers' framing of game challenges reflected their familiarity with the game; Different pedagogical approaches were adopted, influencing classroom interactions and alignment with curricular aims; Dialogic facilitation varied, with teachers assuming different authorial positions</t>
  </si>
  <si>
    <t>Limited teacher familiarity with Minecraft; The complexity of the game can be overwhelming; Need for more studies to understand how teachers can effectively integrate games with curricular aims</t>
  </si>
  <si>
    <t>Students built topic-related creations in Minecraft, such as arthropod insects, using their key features.</t>
  </si>
  <si>
    <t>Collaboration; Critical Thinking; Creativity; Problem-Solving</t>
  </si>
  <si>
    <t>Minecraft for learning was engaging and enjoyable for students, promoting retention of scientific knowledge and enhancing teamwork and problem-solving skills.</t>
  </si>
  <si>
    <t>Technical challenges, variability in teacher confidence with Minecraft, and the need for extensive preparation and support.</t>
  </si>
  <si>
    <t>To evaluate the transition from face-to-face to remote delivery of the Science Hunters outreach program and to assess the effectiveness of using Minecraft for remote science engagement.</t>
  </si>
  <si>
    <t>High levels of satisfaction among children and teachers with remote sessions; Successful engagement of children in scientific learning through Minecraft; Importance of pre-session discussions, training, and technical support for teachers; Continuation of certain remote delivery practices in future sessions.</t>
  </si>
  <si>
    <t>Limited flexibility in session topics due to the need for adaptation to remote delivery. Dependence on technical infrastructure and potential for connectivity issues. Higher levels of equipment damage and loss due to rigorous cleaning and transportation.</t>
  </si>
  <si>
    <t>Students engaged in various activities such as creating sustainable houses, roller coasters, underwater filtration systems, biomes, and cities.</t>
  </si>
  <si>
    <t>Mathematics; Science; Social Studies</t>
  </si>
  <si>
    <t>Critical Thinking; Creativity; Collaboration; Communication</t>
  </si>
  <si>
    <t>Minecraft can meaningfully aid students in developing 21st century competencies, but the effectiveness depends on how teachers implement the game in their classrooms.</t>
  </si>
  <si>
    <t>Potential for off-task behavior; Need for teacher scaffolding and guidance</t>
  </si>
  <si>
    <t>To understand how teachers use Minecraft to support 21st century competency development and to identify pedagogical strategies that facilitate this process.</t>
  </si>
  <si>
    <t xml:space="preserve">Teachers successfully designed lessons using Minecraft that supported 21st century competency development. Collaboration was the primary competency developed, supported by both game features and teacher decisions. Critical thinking, creativity, and innovation were also fostered through various types of play. </t>
  </si>
  <si>
    <t>Project-Based Learning; Inquiry-Based Learning; Collaborative Learning</t>
  </si>
  <si>
    <t>Building flood management systems; Constructing firefighting drone bases; Sustainable crop processing</t>
  </si>
  <si>
    <t>Using Minecraft can effectively engage children from under-represented groups in STEM by providing an interactive and inclusive learning environment that links to real-world problems and the SDGs.</t>
  </si>
  <si>
    <t>Potential need for structured guidance to keep activities focused; Possible challenges in ensuring all children remain engaged</t>
  </si>
  <si>
    <t>To engage children from under-represented groups with STEM using Minecraft, linking activities to the UN SDGs, and promoting STEM careers.</t>
  </si>
  <si>
    <t>Minecraft was effective in engaging children from under-represented groups with STEM; Activities linked to multiple SDGs, fostering awareness of real-world problems and solutions; Positive feedback indicated improved self-esteem, social communication, and confidence among participants.</t>
  </si>
  <si>
    <t>Some activities may require more structured guidance to ensure focus; Ensuring sustained engagement across all participants can be challenging.</t>
  </si>
  <si>
    <t>Inquiry-Based Learning; Collaborative Learning; Project-Based Learning</t>
  </si>
  <si>
    <t>Exploring coral reef ecosystems; Building glass-bottomed research ships; Constructing representations of coral reefs and threats</t>
  </si>
  <si>
    <t>Minecraft can effectively engage children in scientific learning by providing an interactive and immersive environment that links virtual activities to real-world concepts and issues.</t>
  </si>
  <si>
    <t>Need for structured guidance to ensure focus; Potential challenges in maintaining engagement with complex scientific concepts</t>
  </si>
  <si>
    <t>To engage children in learning about coral reef ecosystems and conservation using Minecraft, and to evaluate the effectiveness of this approach in increasing knowledge and interest in science.</t>
  </si>
  <si>
    <t>Significant improvement in children's knowledge of coral reefs, with pre-session scores increasing from 32% to 79% post-session; Positive feedback indicating increased enjoyment, self-esteem, and interest in science.</t>
  </si>
  <si>
    <t>Single-session evaluation may not capture long-term learning impacts. The need for structured activities to guide children's exploration within Minecraft.</t>
  </si>
  <si>
    <t>Themed building activities based on science topics introduced during sessions.</t>
  </si>
  <si>
    <t>Social Communication; Creativity; Collaboration</t>
  </si>
  <si>
    <t>Enhanced scientific knowledge, social communication skills, confidence, and overall well-being; Minecraft provides a motivating and engaging platform for learning.</t>
  </si>
  <si>
    <t>To evaluate the outcomes of a science-themed Minecraft Club for children with Special Education Needs, focusing on educational and social benefits.</t>
  </si>
  <si>
    <t>Positive impacts on scientific knowledge, social communication skills, and confidence; children enjoyed attending the club; caregivers reported benefits in social skills and overall well-being</t>
  </si>
  <si>
    <t>Small sample size; mainly qualitative data; potential bias from familiar interviewers; differences in communication abilities and attendance duration among children.</t>
  </si>
  <si>
    <t>Over 8000</t>
  </si>
  <si>
    <t>Students are set tasks related to science topics (e.g., building space-saving farms, managing volcanic hazards) within Minecraft to simulate and solve real-world problems.</t>
  </si>
  <si>
    <t>Science; Technology</t>
  </si>
  <si>
    <t>Collaboration; Communication; Critical Thinking; Creativity</t>
  </si>
  <si>
    <t>Minecraft in learning environments helps engage students, makes science accessible and entertaining, and enhances social and communication skills. Minecraft allows safe experimentation and exploration of scientific concepts.</t>
  </si>
  <si>
    <t>To engage children with scientific learning through the use of Minecraft, particularly targeting those who face barriers to higher education, and to evaluate the impact on participants' engagement, learning, and social skills.</t>
  </si>
  <si>
    <t>Positive feedback from participants, parents, and teachers; increased interest in science; improved social and communication skills; high engagement levels; children found sessions fun and educational; teachers reported higher concentration and collaboration among students.</t>
  </si>
  <si>
    <t>Potential bias due to self-reported feedback; varied length of participation among children; challenges in generalizing findings due to the specific context of the project.</t>
  </si>
  <si>
    <t>Project-Based Learning; Inquiry-Based Learning</t>
  </si>
  <si>
    <t>Problem-Solving; Digital Content Creation; Critical Thinking; Collaboration; Communication</t>
  </si>
  <si>
    <t>Reproducing real-world objects; Creating digital worlds inspired by other games</t>
  </si>
  <si>
    <t>Minecraft can support digital literacy development; Minecraft provides a platform for exploring sustainability concepts.</t>
  </si>
  <si>
    <t>Requires specialist skills for effective use by educators; The complexity of some game elements may limit accessibility for younger children; The need for teacher engagement to fully utilize the game's educational potential.</t>
  </si>
  <si>
    <t>To investigate how informal interactional dynamics between children and digital gaming in Minecraft relate to digital literacy and education for sustainable development (ESD)</t>
  </si>
  <si>
    <t>Digital objects in Minecraft become social objects through peer and online interactions; Minecraft activities promote digital literacy skills like problem-solving and digital content creation; Informal digital making activities can support ESD by engaging children in sustainable development concepts.</t>
  </si>
  <si>
    <t>The study is based on a single case, limiting generalizability; Potential for misconceptions between virtual and real-world concepts; Requires additional research to confirm findings across different contexts and larger samples.</t>
  </si>
  <si>
    <t>Building virtual structures; Recreating community buildings; Designing zoos and train systems</t>
  </si>
  <si>
    <t>Leadership; Creativity; Critical Thinking; Problem-Solving; Collaboration; Communication</t>
  </si>
  <si>
    <t>Minecraft can enhance leadership skills and creativity; Minecraft supports social and emotional learning.</t>
  </si>
  <si>
    <t>Potential overuse or misuse without educational return; Challenges in conflict resolution among students</t>
  </si>
  <si>
    <t>To integrate Minecraft with The Leader in Me curriculum to enhance leadership skills, creativity, and social-emotional learning among elementary students.</t>
  </si>
  <si>
    <t>Positive behavioral changes, such as reduced office referrals; Improved classroom engagement and homework completion; Increased student creativity and autonomy; Enhanced leadership skills through practical application in Minecraft</t>
  </si>
  <si>
    <t>Small sample size and lack of a control group; Inability to isolate the effects of Minecraft LiM from other program elements; Potential biases due to the author's involvement in the program</t>
  </si>
  <si>
    <t>Building staircases, tunnels through mountains, railways; Solving mathematical problems within the game; Collaborative projects</t>
  </si>
  <si>
    <t>Digital Literacy; Collaboration; Critical Thinking; Problem-Solving</t>
  </si>
  <si>
    <t>Enhances engagement, supports hands-on learning, facilitates understanding of abstract concepts</t>
  </si>
  <si>
    <t>Potential for distraction, requires effective integration with curriculum</t>
  </si>
  <si>
    <t>Minecraft engages students in mathematical thinking; students demonstrate improved understanding of geometric and algebraic concepts; collaborative projects enhance problem-solving skills; effective integration requires alignment with curriculum and teacher support</t>
  </si>
  <si>
    <t>Small sample size; Context-specific findings; Requires teacher training and support; Potential for off-task behavior</t>
  </si>
  <si>
    <t>Experiential Learning</t>
  </si>
  <si>
    <t>Gamification; Project-Based Learning</t>
  </si>
  <si>
    <t>Building renewable energy structures; Solving tasks related to renewable energy; Collaborative projects</t>
  </si>
  <si>
    <t xml:space="preserve">Constructivism
</t>
  </si>
  <si>
    <t>Geometry activities involving area and volume by building and calculating shapes in Minecraft.</t>
  </si>
  <si>
    <t>Educational Technology; Mathematics</t>
  </si>
  <si>
    <t>Collaboration; Critical Thinking; Problem-solving; Creativity</t>
  </si>
  <si>
    <t>Minecraft for learning include increased engagement, motivation, understanding of mathematical concepts, and opportunities for professional growth among preservice teachers.</t>
  </si>
  <si>
    <t>The need for familiarity with the game and potential misconceptions about mathematical concepts when using 3D blocks to represent 2D shapes.</t>
  </si>
  <si>
    <t>Sociocultural Learning Theory</t>
  </si>
  <si>
    <t>Cultural-Historical Learning Theory</t>
  </si>
  <si>
    <t>Specific sample from one university, potential biases in voluntary participation, and the focus on gender diversity without considering other diversity dimensions.</t>
  </si>
  <si>
    <t>Gender-diverse teams demonstrated more egalitarian communication, higher levels of productive interaction, and a greater presence of learners compared to non-diverse teams.</t>
  </si>
  <si>
    <t>To investigate the role of gender diversity in emergent team roles and communication dynamics in a CSCL escape game.</t>
  </si>
  <si>
    <t>Minecraft increases engagement, effective collaboration, and enhanced problem-solving skills among participants.</t>
  </si>
  <si>
    <t>Collaboration; Critical Thinking; Problem-solving; Communication</t>
  </si>
  <si>
    <t>Participants completed tasks in a Minecraft escape game by programming agents to solve puzzles and navigate through rooms.</t>
  </si>
  <si>
    <t xml:space="preserve">Educational Technology; </t>
  </si>
  <si>
    <t>Develop educational content and reflect on its use in the classroom.</t>
  </si>
  <si>
    <t>Collaboration; Communication; Creativity; Critical Thinking.</t>
  </si>
  <si>
    <t>Minecraft includes its potential to enhance engagement; foster creativity; support collaborative learning; improve technological proficiency among teachers.</t>
  </si>
  <si>
    <t>The need for adequate training; potential resistance from teachers unfamiliar with gaming.</t>
  </si>
  <si>
    <t>To explore how participatory culture through Minecraft can serve as a professional development tool for teachers.</t>
  </si>
  <si>
    <t>Minecraft can be an effective tool for professional development, enhancing teachers' engagement, creativity, and collaborative skills. Teachers reported increased confidence in integrating technology into their teaching practices.</t>
  </si>
  <si>
    <t>The lack of specificity regarding sample size and duration; potential bias in self-reported data; challenges in generalizing findings to different educational contexts.</t>
  </si>
  <si>
    <t>Exploring hypothetical versions of Earth and building habitats</t>
  </si>
  <si>
    <t>Creativity; Critical Thinking; Collaboration; Communication</t>
  </si>
  <si>
    <t>Technical issues in hybrid format; Distractions in remote settings; Variability in Minecraft experience among participants</t>
  </si>
  <si>
    <t>Small sample sizes limit generalizability; Technical challenges in remote settings; Variability in prior Minecraft experience among participants.</t>
  </si>
  <si>
    <t>Creating a digital story</t>
  </si>
  <si>
    <t>Creativity; Critical Thinking; Communication; Digital Literacy</t>
  </si>
  <si>
    <t>Minecraft can be a powerful tool for creative expression and digital literacy; It provides opportunities for identity construction and agency.</t>
  </si>
  <si>
    <t>Potential for technical challenges in digital storytelling</t>
  </si>
  <si>
    <t>To explore how an African American youth makes digital choices and expresses identity through digital storytelling about Minecraft.</t>
  </si>
  <si>
    <t>Zack demonstrated significant creativity and agency in creating his digital story about Minecraft; His digital choices reflected his cultural identity and digital literacies; Participation in digital storytelling enhanced Zack's engagement and critical thinking skills.</t>
  </si>
  <si>
    <t>Single case study limits generalizability; Potential biases due to the researcher-participant relationship; Technical challenges in digital storytelling.</t>
  </si>
  <si>
    <t>Building and exploring in Minecraft; Creating educational projects; Engaging in digital citizenship lessons</t>
  </si>
  <si>
    <t>Literacy; Social Science; Science; Math; Art; Computer Science</t>
  </si>
  <si>
    <t>Creativity; Critical Thinking; Collaboration; Communication; Digital Literacy</t>
  </si>
  <si>
    <t>Minecraft can enhance student engagement and agency; It can create immersive and meaningful learning experiences.</t>
  </si>
  <si>
    <t>To explore how educators shape student agency in classroom use of Minecraft.</t>
  </si>
  <si>
    <t>Educators can significantly influence the creation of "worldly spaces" in Minecraft, enhancing student agency and subjectivity; Minecraft facilitates immersive and engaging learning experiences; Educators' decisions and actions are crucial in balancing game freedom with educational goals.</t>
  </si>
  <si>
    <t>Small sample size and limited generalizability; Potential biases in participant selection and interview responses; Challenges in capturing the full scope of student experiences and outcomes.</t>
  </si>
  <si>
    <t>Building and exploring virtual colonies in Australia; Engaging in historical re-enactments and research</t>
  </si>
  <si>
    <t>History; Social Studies; Geography</t>
  </si>
  <si>
    <t>Digital Literacy; Critical Thinking; Creativity</t>
  </si>
  <si>
    <t>Minecraft can reproduce or challenge colonial narratives; It provides opportunities for critical engagement with history and geography.</t>
  </si>
  <si>
    <t>Technical challenges</t>
  </si>
  <si>
    <t>To investigate how Minecraft is used in classrooms to teach colonial history and its impact on reproducing or challenging colonial narratives.</t>
  </si>
  <si>
    <t>Minecraft activities can reproduce the colonial myth of terra nullius by erasing Indigenous presence; Students have the potential to resist and interrogate the curriculum through critical engagement with Minecraft; Educators play a crucial role in shaping how Minecraft is used and the narratives it reinforces.</t>
  </si>
  <si>
    <t>Small sample size and limited generalizability; Potential biases in classroom observations and interpretations; Challenges in fully capturing the complexity of student and teacher interactions with Minecraft.</t>
  </si>
  <si>
    <t>Building geometric objects and medieval structures; Experimenting with scaling in 3D environments</t>
  </si>
  <si>
    <t>Creativity; Critical Thinking; Collaboration; Digital Literacy</t>
  </si>
  <si>
    <t>Minecraft can enhance student engagement and learning; It can create immersive and meaningful learning experiences.</t>
  </si>
  <si>
    <t>Significant time and resource investments; Technological challenges; Variability in student gaming literacy</t>
  </si>
  <si>
    <t>Recreating scenes from The Outsiders; Building thematic structures; Reflecting on characters and themes through Minecraft</t>
  </si>
  <si>
    <t>Literacy; English Language</t>
  </si>
  <si>
    <t>Creativity; Critical Thinking; Digital Literacy</t>
  </si>
  <si>
    <t>Minecraft can enhance student engagement with literature; It can support identity development and critical literacy practices.</t>
  </si>
  <si>
    <t>To explore how Minecraft can support literary analysis and identity development in students who are disengaged from traditional literacy practices.</t>
  </si>
  <si>
    <t>Single participant limits generalizability; Variability in student gaming literacy may affect outcomes; Challenges in balancing digital and traditional literacy practices.</t>
  </si>
  <si>
    <t>Minecraft can enhance student engagement with literature; It can support justice and equity in education.</t>
  </si>
  <si>
    <t>Variability in student gaming literacy</t>
  </si>
  <si>
    <t>To explore how Minecraft can support literary analysis and promote justice in education for students who are disengaged from traditional literacy practices.</t>
  </si>
  <si>
    <t>Single class limits generalizability; Variability in student gaming literacy may affect outcomes; Challenges in balancing digital and traditional literacy practices.</t>
  </si>
  <si>
    <t>Creating games to explain research methodology concepts; Engaging with theoretical knowledge through game design</t>
  </si>
  <si>
    <t>MinecraftEDU can enhance student engagement and learning in research methodology; It can create immersive and meaningful learning experiences.</t>
  </si>
  <si>
    <t>Initial challenges with the MinecraftEDU environment; Variability in student gaming literacy; Need for better support and training</t>
  </si>
  <si>
    <t>To determine whether gamification, specifically using MinecraftEDU, can be effectively used to teach research methodology to postgraduate students.</t>
  </si>
  <si>
    <t>Students preferred the gamified approach to traditional lectures; Creating games within MinecraftEDU helped students engage with and understand research methodology concepts; Initial challenges with the MinecraftEDU environment were overcome, and the overall experience was positive.</t>
  </si>
  <si>
    <t>Initial challenges with the MinecraftEDU environment; Variability in student gaming literacy; Need for better support and training for students</t>
  </si>
  <si>
    <t>Education; STEM; Physics; Mathematics; Science; Spanish; History; English; Art</t>
  </si>
  <si>
    <t>Initial challenges with the MinecraftEDU environment; Variability in student gaming literacy; Time constraints for teachers to learn the game</t>
  </si>
  <si>
    <t>To investigate whether different genres of video games can enhance creativity and to identify which aspects of creativity are most affected.</t>
  </si>
  <si>
    <t>Playing video games, particularly sandbox and puzzle games, can enhance certain aspects of creativity, especially flexibility; The FPS game had unexpected positive effects on creativity, contrary to initial hypotheses; Creativity measures such as fluency and originality were not significantly affected</t>
  </si>
  <si>
    <t>Small sample size and limited generalizability; Variability in game familiarity among participants; The effects observed were short-term and need further research to determine long-term impacts</t>
  </si>
  <si>
    <t>Socioconstructivism</t>
  </si>
  <si>
    <t>Building a self-sustaining community; Engaging in collaborative projects; Discussing theoretical concepts related to participation, interaction, and access</t>
  </si>
  <si>
    <t>Minecraft can enhance self-efficacy, engagement, and participation in academic settings; It provides an engaging and interactive platform for learning complex concepts.</t>
  </si>
  <si>
    <t>Initial technical challenges; Variability in student gaming literacy; Need for better integration of theoretical perspectives</t>
  </si>
  <si>
    <t>Initial technical challenges with Minecraft; Variability in student gaming literacy; eed for better integration of theoretical perspectives in educational design</t>
  </si>
  <si>
    <t>Minecraft can enhance engagement and learning; It provides opportunities for integrating domain-specific and generic skills.</t>
  </si>
  <si>
    <t>Initial technical challenges; Variability in student gaming literacy</t>
  </si>
  <si>
    <t>To propose and test the action-breakdown-repair (ABR) pedagogical model in 3D virtual worlds to bridge the educational gap between curricular goals and students' out-of-school technology experiences.</t>
  </si>
  <si>
    <t>Action-Breakdown-Repair (ABR)</t>
  </si>
  <si>
    <t>The ABR model facilitates the transition between learning technologies and domain knowledge; Students and teachers can use virtual worlds with initial training, enhancing engagement and learning; Two dilemmas were identified: learning domain knowledge vs. learning technology, and breakdown in action vs. breakdown in understanding.</t>
  </si>
  <si>
    <t>Need for more scaffolding and automated feedback</t>
  </si>
  <si>
    <t>Building structures in Minecraft; Creating digital artifacts in Fab Lab; Using social networking systems for collaborative argumentation</t>
  </si>
  <si>
    <t>Digital tools can enhance both cognitive and affective learning; They provide opportunities for meaningful and engaging learning experiences.</t>
  </si>
  <si>
    <t>Initial technical challenges; Variability in student familiarity with digital tools</t>
  </si>
  <si>
    <t>To explore how digital tools, such as social networking systems, games, and digital fabrication, can enhance cognitive and affective learning processes in various educational contexts.</t>
  </si>
  <si>
    <t>Digital tools can enhance cognitive and affective learning processes; Students engaged actively in collaborative learning activities; Emotional experiences were integral to the learning process, supporting deeper engagement and understanding.</t>
  </si>
  <si>
    <t>Initial technical challenges with digital tools; Variability in student familiarity with digital tools; Need for better scaffolding and support</t>
  </si>
  <si>
    <t>Collaboration; Critical Thinking; Creativity</t>
  </si>
  <si>
    <t>Participants rebuilt the house from the novel "Effi Briest" using given materials and instructions in Minecraft.</t>
  </si>
  <si>
    <t>To investigate the impact of increased task interdependence in educational videogames on collaboration, play performance, and learning outcomes.</t>
  </si>
  <si>
    <t>Increased task interdependence improved play performance and learning outcomes; mediator and moderator analyses showed a strong impact of play performance on learning outcomes.</t>
  </si>
  <si>
    <t>The study's results are limited by the specific experimental conditions, the small sample size, and the need for further analysis of different collaboration forms and cognitive load measures.</t>
  </si>
  <si>
    <t>Project-Based Learning; Collaborative Learning; Inquiry-Based Learning</t>
  </si>
  <si>
    <t>Creating models, exploring concepts, collaborative projects</t>
  </si>
  <si>
    <t>Geometry; Literacy; Informatics; History; Chemistry</t>
  </si>
  <si>
    <t>Collaboration; Critical Thinking; Creativity; Problem-Solving; Digital Literacy</t>
  </si>
  <si>
    <t>Minecraft fosters engagement, creativity, and collaboration in educational settings; its open-ended nature supports various learning styles.</t>
  </si>
  <si>
    <t>Requires specialist skills for implementation; variability in teacher engagement and skills; potential dominance of experienced players; technical challenges with redstone mechanics and server management.</t>
  </si>
  <si>
    <t>To review the literature on the use of Minecraft in education and research, summarize its current usage, discuss benefits and limitations, and outline future implications for educational videogames.</t>
  </si>
  <si>
    <t>Minecraft has been successfully integrated into various educational contexts, supporting a wide range of subjects and promoting constructivist learning. It offers numerous benefits such as flexibility, engagement, and collaborative opportunities but also presents challenges like the need for technical skills and potential player dominance.</t>
  </si>
  <si>
    <t>The review acknowledges the need for further education of teachers, technical barriers, and variability in player experience. It also mentions the limitations of Minecraft's graphics and the need for modifications to suit educational purposes.</t>
  </si>
  <si>
    <t>Constructionism</t>
  </si>
  <si>
    <t>Connected Learning</t>
  </si>
  <si>
    <t>Players create and share digital content, such as walkthroughs, building tutorials, and gameplay strategies on YouTube.</t>
  </si>
  <si>
    <t>Collaboration; Creativity; Digital Literacy</t>
  </si>
  <si>
    <t>Minecraft promotes collaborative learning, creativity, and digital literacy; it serves as a model for innovative instructional practices in education.</t>
  </si>
  <si>
    <t>To explore how Minecraft and maker culture influence learning practices and to understand the collaborative and digital literacy aspects of Minecraft communities.</t>
  </si>
  <si>
    <t>The study found that Minecraft encourages collaborative learning, creativity, and digital literacy through its participatory and flexible environment. The YouTube creators analyzed demonstrated the creation of digital content that supports and extends gameplay, fostering a collaborative community.</t>
  </si>
  <si>
    <t>Critical Thinking; Collaboration; Problem Solving; Engagement</t>
  </si>
  <si>
    <t>Chemistry</t>
  </si>
  <si>
    <t>Constructivism; Social Constructivism; Cognitive Constructivism; Radical Constructivism</t>
  </si>
  <si>
    <t>Students used the element constructor, compound creator, and material reducer to create elements, compounds, and perform experiments related to atomic structure.</t>
  </si>
  <si>
    <t>Minecraft increases motivation, engagement, and makes abstract scientific concepts more concrete and easier to understand.</t>
  </si>
  <si>
    <t>Some students struggle with game mechanics; surface learning for some aspects; requires additional support for deep learning.</t>
  </si>
  <si>
    <t>To explore the affordances of Minecraft for learning atomic structure in junior high school by examining students’ experiences.</t>
  </si>
  <si>
    <t>Minecraft was found to increase motivation and engagement, make learning atomic structure more enjoyable and understandable, promote critical thinking, and facilitate collaboration among students.</t>
  </si>
  <si>
    <t>Constructionism; Social Constructivism</t>
  </si>
  <si>
    <t>Inclusive Design; Game-Based Learning</t>
  </si>
  <si>
    <t>Students create and engage with contextualized learning environments and puzzle rooms; activities include building models, solving puzzles, and exploring custom scenarios.</t>
  </si>
  <si>
    <t>History; Geography; Science; Language; Computational Thinking</t>
  </si>
  <si>
    <t>Critical Thinking; Collaboration; Creativity; Problem-Solving</t>
  </si>
  <si>
    <t>Minecraft provides an engaging, flexible, and inclusive learning environment that supports the needs of 2e students by offering freedom, variety, and the ability to engage with real-world and simulated problems.</t>
  </si>
  <si>
    <t>To demonstrate how Minecraft can be used to create inclusive learning environments for twice exceptional students and to provide practical examples and methodologies for implementing these environments.</t>
  </si>
  <si>
    <t>Arts</t>
  </si>
  <si>
    <t>Game-Based Learning; Collaborative Learning</t>
  </si>
  <si>
    <t>Students build structures, create digital art, and engage in collaborative projects using Minecraft.</t>
  </si>
  <si>
    <t>Collaboration; Creativity; Critical Thinking; Problem-Solving; Digital Literacy</t>
  </si>
  <si>
    <t>Minecraft can enhance art education by providing an engaging, flexible, and collaborative virtual learning environment that supports creativity and technology skills.</t>
  </si>
  <si>
    <t>Technical challenges; Need for teacher training; Potential for disruptive behavior</t>
  </si>
  <si>
    <t>To explore how Minecraft can be incorporated into the K-12 art education curriculum and to demonstrate its potential for enhancing creative and collaborative learning.</t>
  </si>
  <si>
    <t>Minecraft can effectively support art education by providing a versatile and engaging platform for creative and collaborative learning. Students benefit from the freedom to experiment and create within the game, and teachers can use it to teach a variety of skills, including digital literacy and programming.</t>
  </si>
  <si>
    <t>The need for adequate technology infrastructure; Teacher training requirements</t>
  </si>
  <si>
    <t>Postdigital Play</t>
  </si>
  <si>
    <t>Creativity; Collaboration; Digital Literacy</t>
  </si>
  <si>
    <t>Minecraft enables creative, collaborative, and hybrid play experiences that blur the lines between digital and non-digital play, enhancing early childhood literacy and learning.</t>
  </si>
  <si>
    <t>To explore how young children’s play practices with Minecraft blur the boundaries between digital and non-digital play, and to contribute to the understanding of postdigital play in early childhood education.</t>
  </si>
  <si>
    <t>The study finds that young children’s play practices with Minecraft involve complex interactions between digital and non-digital elements, creating a postdigital play environment. This hybrid play enhances creativity, collaboration, and digital literacy, challenging traditional boundaries between digital and non-digital play.</t>
  </si>
  <si>
    <t>Sociocultural Theory; Agential Realism</t>
  </si>
  <si>
    <t>Sociomateriality, Affect Theory</t>
  </si>
  <si>
    <t>Creativity; Collaboration</t>
  </si>
  <si>
    <t>Reinforcing gender stereotypes.</t>
  </si>
  <si>
    <t>To explore how young children's friendships are shaped and maintained through postdigital play involving both digital and non-digital elements, particularly using Minecraft and YouTube.</t>
  </si>
  <si>
    <t>The study found that the children's friendship was characterized by affective intensities and recurring refrains in their play, which included both digital and non-digital elements. These refrains created a sense of consistency and novelty in their interactions, deeply embedding feelings of friendship through shared experiences​​; Potential for reinforcing gender and racial stereotypes; Overemphasis on digital elements can overlook non-digital play's importance</t>
  </si>
  <si>
    <t>The study is limited by its small sample size and the specific cultural context of Norway, which may not be generalizable to other settings. Additionally, the emphasis on postdigital play might overlook other important aspects of children's social interactions and literacies​​.</t>
  </si>
  <si>
    <t>Participants reconstructed Roman heritage sites using historical and archaeological data provided in booklets. They were free to design and build various structures such as forts, roads, and buildings, incorporating creativity alongside historical accuracy</t>
  </si>
  <si>
    <t>History</t>
  </si>
  <si>
    <t>Collaboration; Creativity; Critical Thinking; Digital Literacy</t>
  </si>
  <si>
    <t>Lack of formal assessment and documentation of learning outcomes</t>
  </si>
  <si>
    <t>To explore the potential of video games as tools for archaeological scholarship and public engagement.</t>
  </si>
  <si>
    <t>The RoMeincraft project successfully engaged a wide audience in reconstructing Roman heritage sites, fostering interest in archaeology and history. The events were popular and expanded beyond the initial region, highlighting the potential for video games in educational and outreach contexts.</t>
  </si>
  <si>
    <t>Affinity Spaces; Adaptability</t>
  </si>
  <si>
    <t>Mexico</t>
  </si>
  <si>
    <t>Students wrote and published summaries of their essays within the Minecraft environment, then read and provided feedback on at least one peer's summary using in-game books and signs.</t>
  </si>
  <si>
    <t>Information Literacy; Digital Literacy; Collaboration</t>
  </si>
  <si>
    <t>Minecraft can enhance students' affinity and adaptability for academic writing, providing a flexible and engaging platform for academic literacy development.</t>
  </si>
  <si>
    <t>To explore the use of Minecraft as a platform for academic writing and to assess students' affinity and adaptability in this virtual environment.</t>
  </si>
  <si>
    <t>The study found significant levels of affinity and adaptability among students using Minecraft for academic writing. Affinity and adaptability were consistent across various demographic factors, suggesting the broad applicability of this approach.</t>
  </si>
  <si>
    <t>The main limitations are the lack of a control group and the specific sample size and context, which may limit the generalizability of the results.</t>
  </si>
  <si>
    <t>Connectivism</t>
  </si>
  <si>
    <t>Problem-Based Learning</t>
  </si>
  <si>
    <t>Geology</t>
  </si>
  <si>
    <t>Students engaged in tasks such as measuring strike and dip, orienteering with a compass, matching landscape features with topographic maps, and tracing geologic contacts within Minecraft.</t>
  </si>
  <si>
    <t>Collaboration; Digital Literacy; Problem Solving</t>
  </si>
  <si>
    <t>Minecraft can effectively simulate the educational experiences of traditional field camps, enhance student engagement, and develop geospatial skills despite the constraints of a virtual environment.</t>
  </si>
  <si>
    <t>Minecraft fosters creativity, collaboration, and affective connections among children</t>
  </si>
  <si>
    <t>Digital play, specifically through Minecraft, can enhance engagement with historical content and foster a deeper understanding of archaeological and historical concepts.</t>
  </si>
  <si>
    <t>Simplicity of Minecraft's graphics, which may not fully replicate realistic geological textures, and potential technology barriers such as server connectivity issues.</t>
  </si>
  <si>
    <t>To assess the perceptions and learning outcomes of students participating in a virtual geology field camp using Minecraft, and to determine if the virtual camp can replicate the educational and experiential components of traditional field camps.</t>
  </si>
  <si>
    <t>Students showed significant improvement in geospatial skills, particularly in collecting and recording data, synthesizing geologic data, and interpreting earth systems. Despite a preference for in-person field camps, students found the Minecraft assignments valuable and engaging.</t>
  </si>
  <si>
    <t>The main limitations are the small sample size, potential technology issues, and the challenge of replicating the full immersive experience of traditional field camps in a virtual environment.</t>
  </si>
  <si>
    <t>Minecraft can facilitate connections between school and out-of-school contexts; Minecraft can serve as an interdisciplinary learning environment, enabling students to acquire knowledge and skills across diverse domains and disciplines</t>
  </si>
  <si>
    <t>Socio-Cultural Theory</t>
  </si>
  <si>
    <t>Collaborative Learning; Boundary-Crossing Practice</t>
  </si>
  <si>
    <t>Students built familiar objects like vegetable gardens and houses during the first lockdown. In the subsequent school year, they constructed a Ziggurat connected to their history and geography curriculum.</t>
  </si>
  <si>
    <t>History; Geography</t>
  </si>
  <si>
    <t>To explore how Minecraft facilitates boundary-crossing practices in primary school and to understand the role of socio-cultural boundaries in educational activities.</t>
  </si>
  <si>
    <t>Minecraft facilitated boundary crossing between school and out-of-school experiences, promoted interdisciplinary learning, and enabled the development of 21st-century skills. Students' narratives highlighted the overcoming of gender, social, and disciplinary boundaries, and the significant role of teachers as boundary-crossing brokers.</t>
  </si>
  <si>
    <t>The main limitations include the small sample size, the specific cultural context of the study, and the challenges of generalizing qualitative findings.</t>
  </si>
  <si>
    <t>Exploring, creating, discovering, and experimenting in immersive historical environments.</t>
  </si>
  <si>
    <t>History; Architecture</t>
  </si>
  <si>
    <t>No significant academic improvement; negative attitudes from some parents; perceived waste of time in the classroom.</t>
  </si>
  <si>
    <t>To assess the educational benefits and attitudes towards using MinecraftEdu in middle school classrooms.</t>
  </si>
  <si>
    <t>No significant improvement in academic results; High levels of student engagement and creativity; Positive attitudes towards MinecraftEdu from students and teachers, mixed reactions from parents; Rich interactions in the virtual learning environment.</t>
  </si>
  <si>
    <t>Programming tasks using turtles to move and place blocks, create loops, and perform conditional actions.</t>
  </si>
  <si>
    <t>Programming</t>
  </si>
  <si>
    <t>Problem-Solving; Critical Thinking; Creativity</t>
  </si>
  <si>
    <t>Low response rates for problem submissions; Imbalance in participant numbers between groups; Potential bias due to prior programming exposure.</t>
  </si>
  <si>
    <t>Minecraft in learning include the benefits of enhancing creativity, community engagement, and providing immersive learning experiences. The study recognizes the unique opportunities for students to show creativity and comprehension in ways that are more tangible than in the real world.</t>
  </si>
  <si>
    <t>Reliance on digital access and the potential for unequal participation due to varying levels of digital literacy and access among students.</t>
  </si>
  <si>
    <t>To analyze the educommunicative characteristics of innovative educational platforms and their impact on learning through creativity and community.</t>
  </si>
  <si>
    <t>Identifying the central role of creativity and community in the platforms analyzed; emphasizing the shift from traditional behaviorist models to constructivist, cognitivist, and connectivist approaches; highlighting the platforms' potential to enhance motivation, engagement, and digital literacy among students.</t>
  </si>
  <si>
    <t>The main limitations of the research include the scope of the study being limited to the analysis of specific platforms and the need for further research to explore the broader applicability and long-term impact of these platforms in diverse educational settings.</t>
  </si>
  <si>
    <t>To analyze the educommunicative characteristics of Minecraft Education,
NFB education, Educ’Arte, Scratch or the 7 de Cinema and their impact on learning through creativity and community.</t>
  </si>
  <si>
    <t>Students designed plant and animal cell models, created velocity-time graphs, and explored the structure of the Earth using Minecraft. They worked in teams to solve problems and present their findings.</t>
  </si>
  <si>
    <t>Creativity; Critical Thinking; Collaboration; Problem-solving</t>
  </si>
  <si>
    <t>Enhances creativity, critical thinking, problem-solving skills, and interest in STEM fields; Encourages teamwork and engagement.</t>
  </si>
  <si>
    <t>Potential technical difficulties and limited time for activities.</t>
  </si>
  <si>
    <t>Significant increase in students' interest in STEM fields post-activity; Improved scientific creativity, with notable gains in fluency and flexibility; Positive student feedback on the engagement and educational value of the activities.</t>
  </si>
  <si>
    <t>Small sample size; Limited to one educational setting and one type of digital game; Potential biases due to self-reported data and the novelty effect.</t>
  </si>
  <si>
    <t>Benefits of enhancing creativity, community engagement, and providing immersive learning experiences. The study recognizes the unique opportunities for students to show creativity and comprehension in ways that are more tangible than in the real world.</t>
  </si>
  <si>
    <t>Scope of the study being limited to the analysis of specific platforms and the need for further research to explore the broader applicability and long-term impact of these platforms in diverse educational settings.</t>
  </si>
  <si>
    <t>over 3715</t>
  </si>
  <si>
    <t>Participants engage in synchronous lessons in a multiplayer environment, creating and modifying worlds, and interacting with avatars in real-time. The platform supports identity formation, agency, and creativity through structured lessons and community involvement.</t>
  </si>
  <si>
    <t>Minecraft enhances learning by providing a platform that combines physical and digital elements, supports identity and agency, fosters creativity, and builds community among learners.</t>
  </si>
  <si>
    <t>To analyze and describe the unique characteristics of Minecraft: Education Edition as an educational platform and its role as a pioneering exercise in the metaverse.</t>
  </si>
  <si>
    <t>Minecraft supports the development of identity, agency, and creativity among learners. It facilitates multimodal literacy and offers a connected digital environment that enhances traditional educational approaches.</t>
  </si>
  <si>
    <t>The research focuses on a single platform and lacks user feedback. Expanding the study to include multiple platforms and incorporating user perspectives through questionnaires and focus groups are recommended for future research.</t>
  </si>
  <si>
    <t>Ireland</t>
  </si>
  <si>
    <t xml:space="preserve">Constructivism </t>
  </si>
  <si>
    <t>Project-Based learning</t>
  </si>
  <si>
    <t>Mathematics; Geography; Science</t>
  </si>
  <si>
    <t>Critical Thinking; Collaboration; Creativity; Problem Solving</t>
  </si>
  <si>
    <t>Students worked collaboratively on projects, such as designing a sustainable version of their local community.</t>
  </si>
  <si>
    <t>To explore teachers’ experiences of using Minecraft Education to foster key competencies and skills in students.</t>
  </si>
  <si>
    <t>Technological barriers such as limited access to devices and internet connectivity.</t>
  </si>
  <si>
    <t>Minecraft supports the development of key competencies and skills such as critical thinking, collaboration, creativity, and problem-solving; Inclusive and equitable, providing a platform that accommodates diverse learning needs and abilities; Supports curricular content effectively by being versatile and adaptable to various subject areas</t>
  </si>
  <si>
    <t>Creating new worlds, interacting with other players through speech and text, and engaging in collaborative and competitive tasks within the game. Specific examples include creating a 'Christmas world,' playing 'Minecraft® Hide and Seek,' and collaborating to defeat in-game characters like the 'Ender Dragon.'</t>
  </si>
  <si>
    <t>Communication; Collaboration; Digital Literacy</t>
  </si>
  <si>
    <t>Minecraft supports social interactions, providing a platform for communication, and enhancing engagement and enjoyment in social activities. Detriments are not explicitly discussed.</t>
  </si>
  <si>
    <t>To describe how multimodal interactions with online multiplayer games support the capacity of primary students with ASD to initiate and sustain positive social interactions.</t>
  </si>
  <si>
    <t>Minecraft supported students in using speech for social interactions, writing texts to communicate, and using gestures. The game facilitated reciprocal conversations, collaborative and competitive play, and provided a multimodal platform for social engagement.</t>
  </si>
  <si>
    <t>Minecraft fostered student collaboration, with students working together both physically and virtually, sharing tasks, and engaging in peer-to-peer teaching. It also supported creativity, providing an open-ended environMinecraftnt with unlimited resources, allowing students to generate novel ideas and solutions. Minecraft promoted student agency, giving students autonomy and responsibility in their learning, resulting in high engageMinecraftnt and motivation. As an inclusive educational tool, Minecraft accommodated diverse learning needs, providing equitable opportunities for students with special educational needs. Additionally, Minecraft effectively supported curricular content across subjects like mathematics, history, and geography, enhancing traditional teaching Minecraftthods. However, technological barriers such as limited device access and poor internet connectivity were significant challenges that restricted its effective use in classrooms.</t>
  </si>
  <si>
    <t>Small sample size, potential biases in teacher reports, and the need for further research to generalize findings.</t>
  </si>
  <si>
    <t>Students were involved in re-imagining and designing a sustainable version of their local community using Minecraft Education.</t>
  </si>
  <si>
    <t>Collaboration; Creativity; Problem-Solving.</t>
  </si>
  <si>
    <t>Issues with technology infrastructure such as old devices and inadequate WiFi</t>
  </si>
  <si>
    <t>Students reported good learning opportunities with Minecraft Education, particularly for creativity and collaboration; Minecraft Education was found to be easy to use and useful.
Using Minecraft Education was enjoyable; Thematic analysis identified five themes: collaboration, opportunities for creativity, immersive learning environment, student engagement, and technology and digital skills.</t>
  </si>
  <si>
    <t>Potential selection bias due to the use of a convenience sample, lack of pre-test data, and absence of participant feedback on the thematic analysis.</t>
  </si>
  <si>
    <t>Philippines</t>
  </si>
  <si>
    <t>Exploring What-If Hypothetical Implementations in Minecraft (WHIMC) worlds, identifying biotic and abiotic components, and making observations about systemic relationships and environmental changes.</t>
  </si>
  <si>
    <t>Critical Thinking; Problem-Solving.</t>
  </si>
  <si>
    <t>Technical bugs and found the learning tasks challenging</t>
  </si>
  <si>
    <t>To determine the effect of using WHIMC on the STEM interests of students and the relationship between module attributes and student performance.</t>
  </si>
  <si>
    <t>Minimal effect on overall STEM interest; Significant increase in Choice Actions construct; High-performers had higher immersion in the game; High-performers performed better when they liked all module attributes.</t>
  </si>
  <si>
    <t>Main limitations include the small number of topics covered and technical issues encountered during gameplay.</t>
  </si>
  <si>
    <t>Minecraft, specifically through WHIMC, can enhance students' STEM interest by providing an engaging, immersive learning environment. High-performing students showed better outcomes when they appreciated all module attributes, indicating the game's potential to make learning enjoyable and meaningful. However, the open-ended tasks were demanding, and technical issues hindered learning, highlighting the need for well-designed tasks and technical reliability to fully leverage Minecraft's educational benefits​​.</t>
  </si>
  <si>
    <t>Brazil</t>
  </si>
  <si>
    <t>Inquiry-Based Learning</t>
  </si>
  <si>
    <t>Malaysia</t>
  </si>
  <si>
    <t>Minecraft to build and manipulate fraction models to solve fractional problems</t>
  </si>
  <si>
    <t>Critical Thinking, Problem-Solving, and Creativity</t>
  </si>
  <si>
    <t>Significant improvement in HOTS for analyzing, evaluating, and creating in the treatment group using Minecraft; Higher engagement and motivation among pupils in the treatment group; Enhanced problem-solving skills through interactive and hands-on activities in Minecraft.</t>
  </si>
  <si>
    <t>Lack of specification regarding students' prior experience with Minecraft, potential bias due to the non-random assignment of groups, and the need for further studies to explore gender differences and pedagogical aspects.</t>
  </si>
  <si>
    <t>Minecraft can significantly enhance students' higher-order thinking skills in fractional problem-solving. It posits that the interactive and engaging nature of the game facilitates deeper understanding and mastery of complex mathematical concepts, as evidenced by improved posttest scores in the treatment group. The hands-on activities in Minecraft help students visualize and manipulate fraction models, thereby fostering critical thinking, evaluation, and creativity.</t>
  </si>
  <si>
    <t>To investigate the effect of using Minecraft on Year 5 pupils' higher-order thinking skills in fractional problem-solving.</t>
  </si>
  <si>
    <t>Computer Science</t>
  </si>
  <si>
    <t>Critical Thinking; Creativity; Collaboration; Problem-Solving.</t>
  </si>
  <si>
    <t>Minecraft is assumed to enhance engagement, motivation, and enjoyment in learning, developing high-level thinking skills, creativity, and practical problem-solving abilities.</t>
  </si>
  <si>
    <t>Greece</t>
  </si>
  <si>
    <t>Problem-Solving; Critical Thinking</t>
  </si>
  <si>
    <t>Support systems; lack of comprehensive student familiarity with support methods; potential inefficiencies in instructional design and delivery.</t>
  </si>
  <si>
    <t>The support systems and UI directly affect learning efficiency and performance; well-designed support systems can significantly enhance student learning outcomes.</t>
  </si>
  <si>
    <t>To investigate the implementation and effectiveness of the support system and user interface in the HoC game Minecraft Adventurer.</t>
  </si>
  <si>
    <t>Significant problems with support systems and UI affect student performance; Strong correlation between effective use of support systems and improved student performance; Need for improvements in UI design and support mechanisms to enhance learning efficiency.</t>
  </si>
  <si>
    <t>Sample may not be representative of the broader population; Lack of detailed performance data for individual levels; Absence of control group; Technical limitations, such as lack of headphones, affecting the study.</t>
  </si>
  <si>
    <t>Biology</t>
  </si>
  <si>
    <t>Minecraft is assumed to enhance engagement, motivation, and understanding of complex scientific concepts through interactive and contextualized learning experiences.</t>
  </si>
  <si>
    <t>Technical issues with game mechanics; need for adequate teacher training and support; potential difficulty in transferring in-game experiences to traditional classroom learning.</t>
  </si>
  <si>
    <t>Technical difficulties with game mechanics and software; Time constraints for developing and implementing activities; Challenges in ensuring all students could transfer their in-game learning to traditional classroom contexts.</t>
  </si>
  <si>
    <t>Ecuador</t>
  </si>
  <si>
    <t>Students engaged in learning vocabulary and basic math operations</t>
  </si>
  <si>
    <t>Language Learning (English); Mathematics</t>
  </si>
  <si>
    <t>Collaboration; Communication; Critical Thinking</t>
  </si>
  <si>
    <t>Video games increase attention span and reduce hyperactivity; improve teacher-student interactions.</t>
  </si>
  <si>
    <t>Potential for video game addiction; need for teacher training; infrastructure limitations.</t>
  </si>
  <si>
    <t>To improve attention and control hyperactivity in children with and without ADHD using video games in English language learning.</t>
  </si>
  <si>
    <t>Significant improvement in attention span; Reduction in hyperactivity; Better teacher-student interactions.</t>
  </si>
  <si>
    <t>Small sample size; Potential bias from self-reported data; Limited generalizability due to the specific context and sample.</t>
  </si>
  <si>
    <t>Situated Learning; Social Learning Theory</t>
  </si>
  <si>
    <t>Building and competing within Minecraft, creating new worlds, building structures, and participating in PVP (Player vs. Player) combat. They also used Minecraft to complete homework and learn spelling, reflecting on their experiences and strategies during video-stimulated recall sessions</t>
  </si>
  <si>
    <t>Language Learning</t>
  </si>
  <si>
    <t>Enhances digital literacy; fosters social learning and collaboration; promotes critical thinking and problem-solving.</t>
  </si>
  <si>
    <t>To investigate children’s out-of-school learning in digital gaming communities, particularly focusing on girls' participation in Minecraft.</t>
  </si>
  <si>
    <t>Identified five themes of learning: experiencing, belonging, performing, struggling, and enacting participatory identities; Developed a conceptual framework to connect out-of-school digital gaming experiences with formal learning.</t>
  </si>
  <si>
    <t>Small sample size limits generalizability; Focus on a specific age group and gender; Cultural context restricted to Sweden.</t>
  </si>
  <si>
    <t>Collaborative learning</t>
  </si>
  <si>
    <t>The children engage in activities such as building houses, discussing resources</t>
  </si>
  <si>
    <t>Minecraft facilitates collaborative learning and knowledge-sharing; Digital tools can effectively capture children's learning processes.</t>
  </si>
  <si>
    <t>To explore how online tools and digital technologies can influence data collection and capture children's knowledge-making dialogues in Minecraft.</t>
  </si>
  <si>
    <t>Language and digital tools are key resources in collaborative gameplay; Children use previous knowledge and game affordances to create and share knowledge; YouTube serves as a significant platform for knowledge dissemination.</t>
  </si>
  <si>
    <t>Limited sample size and scope; Ethical concerns with children's data; The rapid evolution of gaming culture may outpace research.</t>
  </si>
  <si>
    <t>A93</t>
  </si>
  <si>
    <t>A94</t>
  </si>
  <si>
    <t>A95</t>
  </si>
  <si>
    <t>A96</t>
  </si>
  <si>
    <t>A97</t>
  </si>
  <si>
    <t>A98</t>
  </si>
  <si>
    <t>A99</t>
  </si>
  <si>
    <t>A100</t>
  </si>
  <si>
    <t>A101</t>
  </si>
  <si>
    <t>A102</t>
  </si>
  <si>
    <t>information literacy; gaming; Minecraft; teenagers; Canada</t>
  </si>
  <si>
    <t>Engagement; Interactive Learning; Informal Learning; Outreach; Minecraft</t>
  </si>
  <si>
    <t>creativity, online gaming, dyadic vs. individual activity, idea generation,
Minecraft</t>
  </si>
  <si>
    <t>Simulation and Gaming</t>
  </si>
  <si>
    <t>Literature and Literary</t>
  </si>
  <si>
    <t>Russia</t>
  </si>
  <si>
    <t>Computer Science (miscellaneous)</t>
  </si>
  <si>
    <t>Romania</t>
  </si>
  <si>
    <t>Minecraft; video games; STEM; game-based learning; science</t>
  </si>
  <si>
    <t>Psychology in Russia: State of the Art</t>
  </si>
  <si>
    <t>Russia Federation</t>
  </si>
  <si>
    <t>urban planning with older and younger children in a public school in Tirol town, Brazil.</t>
  </si>
  <si>
    <t>To explore the potential of Minecraft’s game environment for
urban planning with older and younger children in a public school in Tirol town, Brazil.</t>
  </si>
  <si>
    <t>Children were tasked with redesigning their town in Minecraft, creating buildings, public spaces, and engaging in urban planning tasks. The younger children focused on simple designs like playgrounds and lakes, while the older children created more complex structures like houses, schools, and urban centers</t>
  </si>
  <si>
    <t>Creativity; Problem Solving; Collaboration; Digital Literacy</t>
  </si>
  <si>
    <t>Minecraft can engage children in urban planning processes; Children can effectively use Minecraft to express their heritage values and design preferences; Using Minecraft may foster a culture of planning among children and motivate other social actors to participate in sustainable development.</t>
  </si>
  <si>
    <t>Children demonstrated a strong understanding of urban planning concepts through Minecraft; The game facilitated active engagement and allowed children to express their design preferences and heritage values; Minecraft proved to be a useful tool in motivating children to participate in urban planning processes.</t>
  </si>
  <si>
    <t>Limited generalizability due to the specific context of the rural town in Brazil; Technological constraints in rural settings; Short duration of experiments may not capture the full extent of children's design capabilities.</t>
  </si>
  <si>
    <t>Critical Thinking; Problem Solving; Digital Literacy</t>
  </si>
  <si>
    <t>Minecraft encourages the development of information literacy skills; Players can transfer these skills to other contexts; The game's design fosters critical thinking and problem-solving.</t>
  </si>
  <si>
    <t>To determine if playing Minecraft can improve teenagers' information literacy skills by examining their interactions in an online forum and through direct interviews.</t>
  </si>
  <si>
    <t>Minecraft players demonstrate information literacy skills in online forums and gameplay; Players actively seek, evaluate, and share information; The game fosters a community of practice where knowledge is collaboratively constructed.</t>
  </si>
  <si>
    <t>The interpretive analysis could be subjective.</t>
  </si>
  <si>
    <t>To explore how Minecraft can be used as a tool to teach mathematical concepts to elementary school students.</t>
  </si>
  <si>
    <t>Minecraft effectively engages students in learning mathematical concepts such as perimeter, area, and volume; students demonstrate increased curiosity and willingness to explore different configurations and solutions; rich discussions are generated through collaborative activities.</t>
  </si>
  <si>
    <t>Lack of detailed sample size, the potential need for technological resources, and the alignment of game activities with curriculum standards.</t>
  </si>
  <si>
    <t>Building a coastal town in Minecraft, including a pier, bait shop, restaurant, and square store, each with specific area and perimeter requirements. They then compared and discussed their designs to understand the concepts of area and perimeter better.</t>
  </si>
  <si>
    <t>Creativity; Problem Solving; Collaboration</t>
  </si>
  <si>
    <t>Minecraft can engage students in learning mathematical concepts; The game's interactive environment encourages exploration and experimentation; Using Minecraft in education can extend learning beyond the classroom.</t>
  </si>
  <si>
    <t>Activities performed include designing and building virtual libraries with essential elements such as books, performance spaces, and a loans desk.</t>
  </si>
  <si>
    <t>Digital Literacy, Collaboration, Creativity.</t>
  </si>
  <si>
    <t>Minecraft promotes community engagement, social inclusion, and the development of digital literacy skills.</t>
  </si>
  <si>
    <t>Technological barriers, such as inadequate library equipment and internet connectivity issues.</t>
  </si>
  <si>
    <t>To explore how a public library can use Minecraft to build community and engage young people in educational and social activities.</t>
  </si>
  <si>
    <t>The Minecraft Gaming Day successfully engaged young people, promoted social inclusion, and fostered digital literacy; the collaboration between librarians and young patrons created a positive and supportive environment; the event highlighted the potential of integrating virtual gaming into library programming.</t>
  </si>
  <si>
    <t>21st Century Competences</t>
  </si>
  <si>
    <t>Area/Subject</t>
  </si>
  <si>
    <t>Gamemode</t>
  </si>
  <si>
    <t>User Minecraft Experience</t>
  </si>
  <si>
    <t>Minecraft Edition</t>
  </si>
  <si>
    <t>Pedagogical Model</t>
  </si>
  <si>
    <t>Learning Theory</t>
  </si>
  <si>
    <t>Participants created machinima narratives in Minecraft to explore and demonstrate literary concepts such as characterization and plot. They were tasked with capturing their narratives in video form within the game environment. The assignment involved creating films that depicted stories, including developing their own plots or using a provided prompt.</t>
  </si>
  <si>
    <t>Literature</t>
  </si>
  <si>
    <t>Minecraft can facilitate creativity and understanding of complex literary concepts; The open-ended nature of Minecraft allows students to explore and express ideas in ways that are not feasible in traditional educational settings; The constructionist approach enabled by Minecraft supports active and meaningful learning.</t>
  </si>
  <si>
    <t>Not all students were engaged or interested in using Minecraft; There were technological and motivational barriers that hindered some learners; The need for teachers to be comfortable with relinquishing traditional authority roles.</t>
  </si>
  <si>
    <t>To explore the potential of Minecraft as a tool for teaching literary concepts such as characterization and plot in a high school English literature class.</t>
  </si>
  <si>
    <t>Students were able to express their understanding of literary concepts creatively through Minecraft machinima; The constructionist approach facilitated meaningful engagement with the content; The study highlighted the potential and challenges of integrating video games into formal educational settings.</t>
  </si>
  <si>
    <t>Students assumed the roles of Roman architects, researched historical Roman buildings, and recreated them in Minecraft. The process included initial training in Minecraft mechanics, researching assigned buildings, and constructing accurate models in the game. The project aimed to enhance their understanding of Roman architecture and history through interactive and immersive learning.</t>
  </si>
  <si>
    <t>History; Architecture; Latin Language</t>
  </si>
  <si>
    <t>Creativity; Critical Thinking; Collaboration</t>
  </si>
  <si>
    <t>Minecraft can effectively engage students in learning historical and cultural content; The game's immersive nature enhances memory retention and understanding; Digital tools like Minecraft can make learning more relevant and enjoyable for students.</t>
  </si>
  <si>
    <t>Not all students were initially motivated by the game; Some students struggled with the research component; Technological issues, such as firewall restrictions, limited outside-of-school access.</t>
  </si>
  <si>
    <t>To enhance student engagement and understanding of Roman history, culture, and architecture by using Minecraft as an educational tool in Latin and history classes.</t>
  </si>
  <si>
    <t>Improved student understanding of Roman architecture, as evidenced by post-assessment scores; Increased student engagement and enthusiasm for learning through the immersive and interactive project; Positive feedback from students, with some continuing to work on projects outside class and participating in competitions.</t>
  </si>
  <si>
    <t>Minecraft is assumed to propagate neoliberal ideologies through its game mechanics, which emphasize resource extraction, technological advancement, and individual labor as pathways to success. These mechanics reflect real-world capitalist practices, encouraging players to dominate and transform the game world, thus promoting values of self-sufficiency and market-driven progress. By framing labor as inherently rewarding and necessary, Minecraft glosses over political and economic inequalities, presenting an idealized version of capitalism where hard work always leads to success. This utopian narrative naturalizes and justifies exploitative and expansionist tendencies, embedding neoliberal ideologies subtly in the player's unconscious through gameplay rather than overt messaging.</t>
  </si>
  <si>
    <t>Minecraft habituates players to neoliberal economic and political assumptions.
The game rewards resource extraction and technological advancement, mirroring and justifying capitalist exploitation.
Minecraft presents an idealized, utopian vision of labor and globalization, obscuring the realities of economic inequality and imperialism.</t>
  </si>
  <si>
    <t>Its reliance on theoretical analysis without empirical data to support the arguments.</t>
  </si>
  <si>
    <t>To analyze how Minecraft, through its game mechanics and player interactions, reflects and reinforces neoliberal ideologies and economic practices.</t>
  </si>
  <si>
    <t>Critical Thinking; Problem-Solving</t>
  </si>
  <si>
    <t>Participants engaged in various tasks within MinecraftEdu, such as building structures and creating virtual environments, to practice language teaching principles and standards. Tasks were designed to align with TESOL Technology Standards and engagement principles, allowing students to explore the pedagogical potential of Minecraft in language education. Activities included constructing houses and town buildings, creating language learning tasks, and participating in reflective discussions on their experiences.</t>
  </si>
  <si>
    <t>Language; Education Technology</t>
  </si>
  <si>
    <t>Digital Literacy; Collaboration; Creativity; Critical Thinking</t>
  </si>
  <si>
    <t>The need for more explicit focus on pedagogical and theoretical principles during Minecraft tasks; Technical challenges and the learning curve associated with MinecraftEdu.</t>
  </si>
  <si>
    <t>To explore the integration of TESOL Technology Standards, task engagement principles, and MinecraftEdu in CALL teacher education and to evaluate the benefits and challenges of this approach.</t>
  </si>
  <si>
    <t>Students perceived MinecraftEdu as engaging and beneficial for learning; The use of MinecraftEdu helped students meet TESOL Technology Standards and develop 21st-century skills; Positive reflections on the potential of MinecraftEdu for future language teaching.</t>
  </si>
  <si>
    <t>Limited generalizability due to the small and specific sample.</t>
  </si>
  <si>
    <t>Game-Based Learning, Collaborative Learning</t>
  </si>
  <si>
    <t>Students participated in a virtual journey to Ancient Egypt, where they engaged in activities such as solving quests about Egyptian history, exploring an ancient Egyptian world, and conducting a virtual excavation. The activities aimed to reinforce knowledge about Egyptian civilization, architecture, agriculture, and funerary practices.</t>
  </si>
  <si>
    <t>Social Sciences; History</t>
  </si>
  <si>
    <t>Minecraft can make learning more engaging and effective by providing immersive, interactive experiences that foster creativity, collaboration, and motivation. The document assumes that integrating game elements into education can significantly enhance students' learning experiences and outcomes.</t>
  </si>
  <si>
    <t>Managing different levels of student familiarity with Minecraft.</t>
  </si>
  <si>
    <t>To explore the potential of Minecraft as an educational tool for teaching Social Sciences, specifically focusing on Ancient Egypt, and to demonstrate that video games can be effectively integrated into the curriculum to enhance learning and motivation.</t>
  </si>
  <si>
    <t>Students were highly engaged and motivated by the use of Minecraft; The activity helped reinforce knowledge about Ancient Egypt, including architecture, social organization, and rituals; The use of Minecraft fostered collaboration, creativity, and critical thinking among students; Initial skepticism about the educational value of video games diminished after the activity.</t>
  </si>
  <si>
    <t>The short duration of the study (only two sessions); Managing different levels of prior knowledge and experience with the game among students.</t>
  </si>
  <si>
    <t>To explore the 21st-century design processes, skills, and behaviors of high school gamers in order to generate an educational model that illustrates how those classroom gamers attempted to critically think, create, communicate, and collaborate (Four Cs) in Minecraft</t>
  </si>
  <si>
    <t>Social Constructivism</t>
  </si>
  <si>
    <t>Students worked on six different Minecraft projects, including themes such as Andy’s World, Candy Land World, and the Lost City of Atlantis. They collaborated to design, build, and solve problems within these virtual environments, demonstrating critical thinking, creativity, communication, and collaboration.</t>
  </si>
  <si>
    <t>STEM; Architecture</t>
  </si>
  <si>
    <t>Critical Thinking; Creativity; Communication; Collaboration</t>
  </si>
  <si>
    <t>Minecraft helps students learn problem-solving, improve research skills, become resourceful, multitask, and develop social skills through teamwork. It encourages self-organization and the emergence of student leaders.</t>
  </si>
  <si>
    <t>Development of two educational models illustrating the design processes and leadership roles in Minecraft projects; Emergence of four themes: Leadership: Models for Design, Navigating the 3D World, Think Outside-the-Box, and Real-world Connections; Minecraft facilitated the development of problem-solving, research skills, resourcefulness, multitasking, and social skills; Students self-organized and displayed leadership, critical thinking, creativity, communication, and collaboration.</t>
  </si>
  <si>
    <t>Small sample size and specific context limit generalizability; Short duration of the study; Varied student experiences with Minecraft.</t>
  </si>
  <si>
    <t>Mathematics; Computer Science; Game Design</t>
  </si>
  <si>
    <t>Students designed and built a virtual world library game in Minecraft. They created various structures such as a library, garden, floating computer laboratory, treehouse, tennis court, and secret chambers. The game included digital citizenship questions hidden in treasure chests that players needed to answer correctly to advance.</t>
  </si>
  <si>
    <t>Minecraft can enhance learning by providing an immersive, interactive environment that fosters critical thinking, creativity, collaboration, and digital citizenship.</t>
  </si>
  <si>
    <t>To explore how Minecraft can be used to teach information literacy and digital citizenship to elementary school students.</t>
  </si>
  <si>
    <t>Students were highly engaged and motivated; They successfully embedded elements of digital citizenship into the Minecraft game; The project fostered critical thinking, creativity, communication, and collaboration; Students demonstrated understanding of digital citizenship concepts.</t>
  </si>
  <si>
    <t>Small sample size; Limited generalizability due to specific context; Technical challenges, such as a computer crash that resulted in data loss.</t>
  </si>
  <si>
    <t>Comparison of text-Based and visual-Based programming input methods for first-time learners</t>
  </si>
  <si>
    <t>The Effects of Digital Game-Based STEM Activities on Students’ Interests in STEM Fields and Scientific Creativity: Minecraft Case</t>
  </si>
  <si>
    <t>An evaluation of game-Based computer science course designs: The example of minecraftedu</t>
  </si>
  <si>
    <t>Project-Based learning, Collaborative learning</t>
  </si>
  <si>
    <t>To explore the effects of gender and grouping conditions on students' attitudes towards games, feelings towards group work, and academic and gaming achievements in a digital social game-Based learning environment</t>
  </si>
  <si>
    <t>The need for technology access and potential challenges in aligning game-Based activities with curriculum standards.</t>
  </si>
  <si>
    <t>Project-Based Learning; Collaborative Learning; Tasks-Based Learning</t>
  </si>
  <si>
    <t>MinecraftEdu can engage students and enhance their learning experiences; Digital virtual environments like Minecraft can be effectively integrated into language teacher education; Task-Based learning within Minecraft can support the development of 21st-century skills and TESOL Technology Standards.</t>
  </si>
  <si>
    <t>Limited research on the pedagogical practices for digital game-Based learning. Observations of some teacher-directed practices that did not support 21st century competencies.</t>
  </si>
  <si>
    <t>Game-Based Learning; Project-Based Learning</t>
  </si>
  <si>
    <t>To explore how Minecraft can be used to support mathematical learning and understand students' perspectives and experiences in integrating game-Based learning with formal education</t>
  </si>
  <si>
    <t>Minecraft's creative mode facilitated a hands-on learning environment where students could directly engage with and manage renewable energy resources; this practical application allowed students to visualize and manipulate elements such as solar and wind power within the game, making abstract concepts more tangible and understandable; modifications added to Minecraft for the camp made the virtual experience closely mimic real-world physics and engineering challenges, enhancing the educational value and relevance of the activities; the use of Minecraft also highlighted the versatility of game-Based learning platforms in adapting to educational needs, proving effective in bridging the gap between theoretical knowledge and practical application</t>
  </si>
  <si>
    <t>Project-Based learning; Collaborative learning.</t>
  </si>
  <si>
    <t>Collaborative learning; Problem-Based learning.</t>
  </si>
  <si>
    <t>Minecraft can engage students in STEM learning; Interest in STEM can be triggered by game-Based learning experiences.</t>
  </si>
  <si>
    <t>To investigate how Minecraft-Based learning experiences trigger interest in STEM and to compare the effectiveness of in-person and hybrid formats in fostering this interest.</t>
  </si>
  <si>
    <t>Minecraft-Based activities can trigger interest in STEM through novelty, personal relevance, and autonomy; No significant difference in engagement between in-person and hybrid formats; Individual interest in STEM influences how participants engage with the activities.</t>
  </si>
  <si>
    <t>Potential for technical issues; Variability in student engagement and experience; Challenges in balancing game-Based learning with educational objectives</t>
  </si>
  <si>
    <t>To examine the practical challenges teachers face when integrating Minecraft into formal educational settings and to identify the roles teachers must adopt to make game-Based learning successful.</t>
  </si>
  <si>
    <t>Teachers face significant logistical and technological challenges when integrating MinecraftEdu; The success of game-Based learning depends heavily on teacher support and resources; Students' gaming literacy varies widely, affecting their engagement and learning outcomes.</t>
  </si>
  <si>
    <t>Small sample size and limited generalizability; Dependence on external support for technology management; Challenges in balancing game-Based learning with curriculum demands.</t>
  </si>
  <si>
    <t>Stella demonstrated increased engagement and critical thinking through Minecraft-Based literary analysis; She connected deeply with the text and used digital tools to express her understanding and identity; The use of Minecraft facilitated a shift in her perception of literacy and engagement with literature.</t>
  </si>
  <si>
    <t>Students demonstrated increased engagement and critical thinking through Minecraft-Based literary analysis; The use of Minecraft facilitated a shift in students' perceptions of literacy and engagement with literature; Digital literacies provided an alternative pathway for marginalized students to connect with literature and express their identities.</t>
  </si>
  <si>
    <t>Creating game-Based lessons; Developing online assessments; Writing detailed lesson plans; Creating instructional videos</t>
  </si>
  <si>
    <t>To determine whether a game-Based immersion experience in an introductory education course impacts students' perceptions of their skills, attitudes, and confidence in using games for teaching academic content.</t>
  </si>
  <si>
    <t>To examine the relationship between learning self-efficacy, academic engagement, and participation through a game-Based learning experience using Minecraft</t>
  </si>
  <si>
    <t>Minecraft can enhance learning self-efficacy, academic engagement, and participation; Students reported increased satisfaction and confidence in their abilities; The study highlights the importance of integrating theoretical perspectives to design effective game-Based learning experiences.</t>
  </si>
  <si>
    <t>Minecraft can effectively create inclusive learning environments that support the unique needs of twice exceptional students by offering freedom, variety, and engaging, context-Based learning experiences. The study provides practical examples of how Minecraft can be used to facilitate critical thinking, collaboration, and problem-solving skills.</t>
  </si>
  <si>
    <t>Minecraft enhances creativity, improves learning, is fun and engaging, facilitates discovery, and supports interactive learning, particularly in teaching history and architecture. These assumptions are largely supported by high positive feedback from students and teachers, although academic test scores showed no significant improvement. The immersive, game-Based learning environment of MinecraftEdu aligns with constructivist learning principles, promoting active participation and engagement.</t>
  </si>
  <si>
    <t>Minecraft's ComputerCraftEdu enhances engagement, makes programming fun, and effectively supports the development of programming skills for first-time learners. These assumptions are supported by the significantly positive changes in attitudes towards programming in the visual-Based group, indicating higher levels of interest and enjoyment. The interactive and game-Based environment of Minecraft makes learning more appealing and intuitive, particularly through visual programming methods, which are easier for beginners to grasp. Despite no significant differences in problem-solving success rates between visual and text-Based methods, both approaches are effective, suggesting that Minecraft facilitates critical thinking and problem-solving skills.</t>
  </si>
  <si>
    <t>To compare the learning effects of text-Based and visual-Based programming input methods for first-time learners using Minecraft's ComputerCraftEdu.</t>
  </si>
  <si>
    <t>Visual-Based input methods significantly improve attitudes towards programming; Both input methods effectively teach programming concepts; Visual methods are more intuitive and engage learners more than text-Based methods.</t>
  </si>
  <si>
    <t>To investigate the effects of digital game-Based STEM activities on students’ interest in STEM fields and scientific creativity</t>
  </si>
  <si>
    <t>Minecraft Education effectively develops twenty-first-century skills like creativity, collaboration, and problem-solving by providing an engaging and enjoyable learning environment. It posits that the platform's versatility and freedom foster project-Based learning aligned with real-world challenges, enhancing student collaboration and communication. The positive reception and ease of use suggest smooth classroom integration, supporting increased engagement, improved digital skills, and creative expression among students​​.</t>
  </si>
  <si>
    <t>To explore primary students’ experiences of using Minecraft Education during a national project-Based initiative and to examine its impact on developing twenty-first-century skills.</t>
  </si>
  <si>
    <t>Students engage in coding tasks using block-Based programming, complete assigned tasks, create structures, and document their work through in-game tools like cameras and portfolios. Outside the game environment, they perform activities such as answering questions, conducting self-assessment, and completing worksheets.</t>
  </si>
  <si>
    <t>Technical issues, lack of resources, varying levels of student familiarity with Minecraft, and challenges in integrating game-Based learning into traditional curricula.</t>
  </si>
  <si>
    <t>To evaluate the potential of course designs based on
digital game-Based learning method for use in teaching of CS subjects.</t>
  </si>
  <si>
    <t>Game-Based CS course designs effectively enhance coding and design skills; Interdisciplinary collaboration is significant in these designs; There is a need for more attention to activities like gaining attention, recalling prior learning, and providing feedback; 
Teachers value curriculum alignment and student engagement.</t>
  </si>
  <si>
    <t>Limited number of prior studies on game-Based course design evaluation, technical and resource challenges, and the need for professional development for teachers.</t>
  </si>
  <si>
    <t>Students selected avatars and solved puzzles in a 2D game world using block-Based coding. They created programs by dragging and dropping blocks in the workspace to control the avatar’s actions within the game world. The game included objects like trees, rocks, and animals, and required students to complete level objectives by solving puzzles.</t>
  </si>
  <si>
    <t>To evaluate the use of Minecraft as a tool to support microbiology learning and to design effective educational activities that integrate game-Based learning with traditional science instruction.</t>
  </si>
  <si>
    <t>Students showed increased engagement and understanding of microbiology topics through Minecraft activities; The combination of traditional instruction and game-Based learning provided a richer educational experience; Reflection exercises and contextualized activities helped solidify students' knowledge of microbiology.</t>
  </si>
  <si>
    <t>Role-Playing; Project-Based Learning</t>
  </si>
  <si>
    <t>Reconstructing historical buildings; Engaging in role-Play scenarios; Creating and modifying virtual environments</t>
  </si>
  <si>
    <t>Children build structures and engage in role-Playing within Minecraft Creative mode and with physical blocks in a preschool common room.</t>
  </si>
  <si>
    <t>They managed resources and faced hostile mobs. They engaged in role-Playing scenarios inspired by the humorous and chaotic style of their favorite YouTube character, Lemon. The children prepared for nighttime challenges by intentionally taking off their armor and leaving their weapons behind, making the game more exciting. They sought out hostile mobs at night, aiming to get their characters killed and then respawn, creating cycles of dying and respawning for fun. Additionally, they built structures and explored the game world, setting up scenarios that led to humorous outcomes, and continuously interacted with various game mechanics, enjoying the dynamic and adventurous aspects of Minecraft.</t>
  </si>
  <si>
    <t>Students participated in various activities including building voxel structures of microbes at different scales, creating farmlands to understand microbial growth, role-Playing as blood cells and antibiotics to defend the body, exploring the virtual stomach and intestines to understand nutrient absorption and waste processing, and conducting a scavenger hunt for microbes on different parts of the virtual body.</t>
  </si>
  <si>
    <t>Children participated in various Minecraft-based activities designed to teach scientific concepts. These included building virtual structures related to scientific topics such as volcanoes, ecosystems, and food security. The activities were designed to be learner-centered and encouraged problem-solving and creativity.</t>
  </si>
  <si>
    <t>Minecraft can make science more engaging and accessible to children, encouraging them to develop an interest in scientific topics and improving their understanding of scientific concepts through interactive, hands-on learning.</t>
  </si>
  <si>
    <t>To engage children with environmental science and promote scientific literacy using Minecraft as an educational tool.</t>
  </si>
  <si>
    <t>Positive feedback from participants, indicating high levels of engagement and enjoyment; Minecraft was a significant motivator for attendance, with many children choosing the activity because of the game; The project effectively engaged children with scientific research and concepts, making science accessible and fun.</t>
  </si>
  <si>
    <t>Small sample size at some events; Difficulty in assessing long-term learning outcomes; Logistical challenges related to space and equipment at public events.</t>
  </si>
  <si>
    <t>Children participated in various Minecraft-based activities designed to teach scientific concepts. Examples include building volcanoes and exploring habitats. The activities aimed to reinforce knowledge about topics such as volcanic rock formation, animal adaptations, and environmental science.</t>
  </si>
  <si>
    <t>Critical Thinking; Creativity; Communication; Collaboration.</t>
  </si>
  <si>
    <t>Statistically significant improvement in children’s knowledge and understanding of scientific topics; Positive feedback from participants, indicating high levels of engagement and enjoyment; Minecraft was an effective medium for teaching scientific concepts.</t>
  </si>
  <si>
    <t>Students explore a volcanic island in Minecraft, engage in guided explorations, and complete tasks related to the morphology of volcanoes, layers of the Earth, and the impact of volcanic eruptions. They also participate in practical and reflective activities to apply their learning</t>
  </si>
  <si>
    <t>Sciences</t>
  </si>
  <si>
    <t>Digital Literacy; Problem Solving; Collaboration; Critical Thinking</t>
  </si>
  <si>
    <t>Enhances motivation, autonomy, and cognitive, social-emotional, and motor development; transforms the teacher's role to facilitator; provides immersive and experiential learning.</t>
  </si>
  <si>
    <t>Potential for initial distraction; need for significant preparation and monitoring</t>
  </si>
  <si>
    <t>The main objective is to employ Minecraft to teach science concepts to primary school students, using the context of volcanoes to enhance learning through exploration and practical activities</t>
  </si>
  <si>
    <t>To employ Minecraft to teach science concepts to primary school students, using the context of volcanoes to enhance learning through exploration and practical activities</t>
  </si>
  <si>
    <t>Key limitations include the need for extensive preparation time, potential initial distractions for students, and ensuring the effective integration of Minecraft into the educational curriculum</t>
  </si>
  <si>
    <t>Communication; Collaboration; Creativity; Critical Thinking</t>
  </si>
  <si>
    <t>Minecraft can be an effective tool for language acquisition and practice when anchored in constructivist learning principles; The game’s open-ended nature and collaborative approaches foster student communication and context-based language use; The game requires significant planning and design to be used effectively in class; Minecraft serves as a tool for creating and storytelling, facilitating experiences for students.</t>
  </si>
  <si>
    <t>to evaluate Minecraft as a tool for educational purposes, focusing on its technological features, pedagogical potential, and suitability for both teachers and learners.</t>
  </si>
  <si>
    <t>Minecraft is a flexible tool that can be used in various educational contexts, particularly for language learning; The game fosters constructivist learning and offers collaborative opportunities; Teachers need to invest significant time and effort to effectively integrate the game into their classrooms; The game has certain limitations related to platform compatibility and multiplayer functionality.</t>
  </si>
  <si>
    <t>Minecraft Education Edition only allows multiplayer play between players with the same Office 365 domain, limiting collaboration; It runs only on PCs with Windows 10 or Macs with up-to-date Mac OS, restricting cross-platform play; The transition from Java to C++ resulted in modifications that may affect educators familiar with the Java-based version.</t>
  </si>
  <si>
    <t>Game-Based Learning; Problem-Based Learning</t>
  </si>
  <si>
    <t>Students are prompted with math questions while performing in-game tasks such as breaking blocks. They also participate in quest-based activities that involve counting animals and creating bar graphs to solve problems. These activities are designed to integrate math learning with the game's interactive environment.</t>
  </si>
  <si>
    <t xml:space="preserve">Problem Solving; Critical Thinking; Collaboration
</t>
  </si>
  <si>
    <t>Minecraft can effectively engage students in learning through interactive and game-based methods; Integrating educational content into Minecraft can enhance students' understanding and retention of math concepts; Minecraft's flexibility and popularity can be leveraged to create meaningful and enjoyable learning experiences.</t>
  </si>
  <si>
    <t>Modifying Minecraft requires technical knowledge and resources, which may not be accessible to all educators; The effectiveness of the educational modifications needs to be validated through long-term studies with students; There is a risk of increased aggressive behavior due to competition in the game environment.</t>
  </si>
  <si>
    <t>To explore and evaluate the integration of educational elements into Minecraft to enhance elementary education, particularly for teaching math concepts.</t>
  </si>
  <si>
    <t>Adult Minecraft players believe that integrating educational elements into Minecraft can be beneficial for students; Modifications such as prompting with math problems and adding quest-based tasks can effectively engage students in learning; 
The survey results indicate a strong interest in and support for using Minecraft in educational settings.</t>
  </si>
  <si>
    <t>Significant gender differences in Minecraft play and engagement with meta-game material</t>
  </si>
  <si>
    <t>Minecraft helps children gain cognitive and social skills</t>
  </si>
  <si>
    <t>To provide detailed quantitative information on children's engagement with Minecraft, focusing on who plays, with whom, and how, to better understand the digital play habits of children aged 3-12 years.</t>
  </si>
  <si>
    <t>Minecraft is the most popular digital game among children aged 3-12 years, with tablets being the preferred device for gameplay. Boys are more likely to play Minecraft than girls, starting at a younger age and engaging in more competitive play. Most children play the game a few times per week, usually for less than an hour per day on weekdays, and predominantly in creative mode.</t>
  </si>
  <si>
    <t xml:space="preserve">Potential self-selection bias, as the survey sample may not be fully representative of the broader population. </t>
  </si>
  <si>
    <t>The students create a three-dimensional model of "Cylindrical Steve" using nets, calculate the surface area and volume, and personalize their models. The activity involves problem-solving and geometric reasoning without using the actual Minecraft game.</t>
  </si>
  <si>
    <t>Critical Thinking; Problem-Solving; Spatial Awareness</t>
  </si>
  <si>
    <t>Minecraft can engage students in mathematical concepts by connecting to their interests; The theme can help students develop a deeper understanding of geometric relationships and mathematical procedures through concrete experiences.</t>
  </si>
  <si>
    <t>The lesson takes more time than traditional methods</t>
  </si>
  <si>
    <t>To describe how a Minecraft theme can be used to teach mathematical concepts such as surface area and volume in an engaging and effective way.</t>
  </si>
  <si>
    <t>Using a Minecraft theme in math class significantly increased student engagement and motivation to learn mathematical concepts. Students developed a deeper understanding of surface area and volume through hands-on activities, where they created and personalized three-dimensional models of "Cylindrical Steve." This creative expression further enhanced their interest and participation in the task. Overall, the use of the Minecraft theme led to a positive learning experience, resulting in improved conceptual understanding of geometric relationships and mathematical procedures.</t>
  </si>
  <si>
    <t>To explore how Minecraft reinterprets narratives of creative subjects and invention through the lens of historical construction toys, island fiction, and modern digital practices.</t>
  </si>
  <si>
    <t>Potential overemphasis on individual creativity, which might overlook collaborative or structured educational approaches.</t>
  </si>
  <si>
    <t>Minecraft's profound impact as both a cultural and educational tool that fosters creativity and digital literacy. By allowing players to explore, gather resources, craft, and build within its virtual worlds, Minecraft encourages the development of inventive and creative skills. The game's two primary modes—Creative and Survival—offer distinct experiences that mirror historical island narratives, such as "Robinson Crusoe," and enable players to experiment with various sociopolitical and environmental conditions. Furthermore, Minecraft's mechanics and modding community train players to think and act like programmers, enhancing their hacker literacy and problem-solving abilities. The document underscores how Minecraft's open-ended and modifiable nature supports individual expression and creativity, situating the game within a broader genealogy of construction toys and digital practices. This synthesis of historical and contemporary contexts demonstrates Minecraft's unique ability to cultivate creative and inventive subjects in an increasingly digital world​​.</t>
  </si>
  <si>
    <t>Project-Based Learning; Game-Based Learning</t>
  </si>
  <si>
    <t>Participants engaged in various chemistry-related tasks within Minecraft, such as exploring and mining blocks to understand elements, using the element constructor to create elements, forming compounds with the compound creator, and performing chemical reactions to create items like sparklers. The activities were designed to integrate Minecraft’s game mechanics with chemistry learning objectives.</t>
  </si>
  <si>
    <t>Critical Thinking; Problem-Solving; Digital Literacy</t>
  </si>
  <si>
    <t>Minecraft’s game mechanics can effectively teach STEM subjects; Game-based learning can increase student engagement and provide a fun learning experience; Integrating Minecraft’s chemistry features will enhance understanding of chemistry concepts.</t>
  </si>
  <si>
    <t>To evaluate how Minecraft Education Edition’s game design mechanics affect the engagement and effectiveness of a chemistry lesson.</t>
  </si>
  <si>
    <t>Mixed results on effectiveness: some participants showed effective learning, others did not; Engagement varied widely among participants; Indications that game design mechanics in Minecraft can enhance learning but require careful integration with educational content.</t>
  </si>
  <si>
    <t>Small sample size; Inability to monitor students directly due to remote observation; Participants’ prior familiarity with Minecraft and chemistry knowledge may have influenced outcomes.</t>
  </si>
  <si>
    <t>Children engaged in various activities within Minecraft, such as building structures, exploring, and using Redstone to create machines. The activities ranged from free building to more structured play influenced by external sources like YouTube, books, and real-life events.</t>
  </si>
  <si>
    <t xml:space="preserve">Creativity; Problem-Solving; Digital Literacy
</t>
  </si>
  <si>
    <t>Minecraft blurs the lines between play and work; Digital games can integrate learning, play, and labor.</t>
  </si>
  <si>
    <t>Small sample size; Subjective nature of children's responses; Lack of generalizability.</t>
  </si>
  <si>
    <t>To explore how children perceive their activities in Minecraft as either play, work, or a combination of both, and to understand the implications of these perceptions.</t>
  </si>
  <si>
    <t>Children recognize both play and work elements in Minecraft; Creative mode is preferred for its open-ended nature; Some activities are seen as labor-intensive but still enjoyable; There is a need to reevaluate traditional distinctions between play and work in the context of digital games.</t>
  </si>
  <si>
    <t>Contructivism</t>
  </si>
  <si>
    <t>Students engaged in various activities involving the use of Minecraft’s Redstone mechanics to understand and build digital logic circuits. They learned about logic gates, truth tables, and Karnaugh maps, and created practical applications such as circuit diagrams within the game.</t>
  </si>
  <si>
    <t>STEM; Computer Science</t>
  </si>
  <si>
    <t>Minecraft can be used effectively to teach digital logic concepts.
Game-based learning can increase student engagement and understanding of complex subjects.</t>
  </si>
  <si>
    <t>To explore how Minecraft can be used as an instructional tool to teach digital logic concepts to secondary school students and to evaluate its effectiveness in enhancing student engagement and understanding.</t>
  </si>
  <si>
    <t>Positive engagement: Students were more engaged when applying new concepts in a familiar virtual environment; Improved understanding: Students demonstrated a better understanding of digital logic concepts through practical applications within Minecraft; Creative projects: Students were able to create their own games and circuits in Minecraft, showcasing their understanding and creativity</t>
  </si>
  <si>
    <t>Small sample size and lack of detailed participant data limit the generalizability of the findings.
Variability in students' prior knowledge and experience with Minecraft may have influenced the outcomes.</t>
  </si>
  <si>
    <t>Students engaged in a variety of activities including classifying rocks, conducting scientific inquiries, determining the relative age of fossils through stratigraphy, navigating a quiz maze, and designing and building structures resembling rock textures. Additionally, students created models of biological structures such as plant and animal cells and the digestive system.</t>
  </si>
  <si>
    <t>To investigate the effectiveness of utilising MinecraftEdu as a teaching aid
for high school science classes, focusing on Earth Science.</t>
  </si>
  <si>
    <t>Collaboration; Critical Thinking; Digital Literacy; Creativity</t>
  </si>
  <si>
    <t>Minecraft can increase student engagement and motivation, making learning interactive and fun. It also suggests that video games can align with good pedagogy and enhance learning experiences by meeting curriculum goals and providing immersive, interactive environments.</t>
  </si>
  <si>
    <t>The initial complexity of setting up the MinecraftEdu server and software, the learning curve for students and teachers unfamiliar with the game</t>
  </si>
  <si>
    <t>The study found that using Minecraft increased student interest in science and ICT, with 84% of students enjoying the program and 94% wanting to use it again. Teachers reported higher student engagement and motivation during Minecraft lessons, and students provided positive feedback on the interactive and collaborative nature of the activities.</t>
  </si>
  <si>
    <t>Community of Inquiry</t>
  </si>
  <si>
    <t>The activities included a variety of events such as pre-launch exploration, Halloween and Christmas build contests, Minecraft Wednesdays for team-based PvP games, Let’s Build Saturdays for survival mode projects, and collaborative events like "Protect your Village" and "Destroy the Warden." Unstructured play was also encouraged throughout the year.</t>
  </si>
  <si>
    <t xml:space="preserve">English Language Learning
</t>
  </si>
  <si>
    <t>Collaboration; Communication; Creativity; Problem-Solving</t>
  </si>
  <si>
    <t>The study assumes that Minecraft can be an effective tool for improving English communication skills, fostering collaboration, and creating a community of learners. However, it also recognizes challenges such as initial participation anxiety and the need for ongoing teacher support.</t>
  </si>
  <si>
    <t>Small sample size, potential biases from researcher involvement, the time-consuming nature of planning events, and the need for continuous teacher support to facilitate interactions.</t>
  </si>
  <si>
    <t>To investigate the interest of Sojo University students in using Minecraft for English learning and to identify the types of Minecraft activities that are most conducive to an educational experience within a self-access learning center.</t>
  </si>
  <si>
    <t>The study found that while there was interest in Minecraft, actual participation in using it for English learning was limited. Group-based events were more effective in building a community and enhancing communication skills compared to individual or unstructured play. Students who regularly participated in events showed improvements in their English communication abilities.</t>
  </si>
  <si>
    <t>Constructivism, Discovery Learning</t>
  </si>
  <si>
    <t>Learning about and building famous historical buildings such as the Pyramid of Chichen Itza, the Roman Coliseum, and the Pantheon in Rome. Additional sessions included problem-solving tasks like navigating mazes and interactive signpost activities in English.</t>
  </si>
  <si>
    <t>Architecture; History; English Language Learning</t>
  </si>
  <si>
    <t>Creativity; Collaboration; Communication; Problem-Solving</t>
  </si>
  <si>
    <t>Minecraft can enhance creativity, engagement, and enjoyment in learning. It also suggests that the interactive and immersive nature of Minecraft  can effectively support educational content, particularly in history and architecture.</t>
  </si>
  <si>
    <t>Initial setup and learning curve for MinecraftEdu, differing perceptions between students and parents on its educational value, and the lack of significant academic improvement as measured by traditional tests.</t>
  </si>
  <si>
    <t>To analyze the pedagogical benefits of MinecraftEdu in primary education, specifically focusing on improvements in student results, motivation, problem-solving skills, and community attitudes towards its use.</t>
  </si>
  <si>
    <t>The study found no significant improvements in academic results from using Minecraft, but it did enhance creativity, engagement, and enjoyment among students. The majority of the educational community viewed Minecraft positively for its potential to improve creativity and interactive learning, though some parents were concerned about its appropriateness and time effectiveness.</t>
  </si>
  <si>
    <t>Potential biases due to the subjective nature of some assessments</t>
  </si>
  <si>
    <t xml:space="preserve">Project-Based Learning, Collaborative Learning
</t>
  </si>
  <si>
    <t>Students used Minecraft to build structures, solve tasks, and engage in interdisciplinary projects. Activities included designing and building in creative mode, exploring geographical maps, editing multimedia, using CAD for 3D printing, and enhancing math and language skills.</t>
  </si>
  <si>
    <t>Arts; Geography; Mathematics</t>
  </si>
  <si>
    <t>Minecraft can enhance creativity, engagement, problem-solving skills, and collaboration among students. It also suggests that while Minecraft offers numerous pedagogical benefits, it requires teachers to be proficient with the software and manage additional workload.</t>
  </si>
  <si>
    <t xml:space="preserve">Creativity; Collaboration; Communication; Problem-Solving
</t>
  </si>
  <si>
    <t>Increased workload for teachers, the need for technical support and training, and the varying levels of students' ICT skills</t>
  </si>
  <si>
    <t>to understand the pedagogical nature of teachers' and students' work using Minecraft in educational settings, and to identify the key factors that affect its use in the classroom.</t>
  </si>
  <si>
    <t>Minecraft enhances students' creativity, problem-solving skills, and collaboration. It also identified challenges such as increased workload for teachers, the need for technical support, and the necessity for teachers to be proficient with the software. Teachers and students generally had positive attitudes towards using Minecraft for educational purposes.</t>
  </si>
  <si>
    <t>The main limitations of the research include the increased workload for teachers, the need for technical support and training, and the varying levels of students' ICT skills, which can pose challenges in effectively integrating Minecraft into the classroom.</t>
  </si>
  <si>
    <t>Participants were required to build two complex structures, a house and a ship, in Minecraft. Each structure had to be highly creative, meaning unique and original. The activities involved individual and dyadic sessions where participants articulated and implemented their ideas.</t>
  </si>
  <si>
    <t>Minecraft can be an effective tool for examining and enhancing creativity. It suggests that virtual environments like Minecraft can support creative processes by providing a flexible and engaging platform for building and idea generation.</t>
  </si>
  <si>
    <t>Reduced emotional contact and non-verbal communication; Potential social loafing</t>
  </si>
  <si>
    <t>Creativity; Collaboration; Communication</t>
  </si>
  <si>
    <t>To explore the prospects for an online interface supporting productive and creative individual and group work using Minecraft, comparing the effectiveness of individual versus dyadic sessions.</t>
  </si>
  <si>
    <t>Participants produced significantly more ideas and took less time to build structures in individual sessions compared to dyadic sessions. However, the originality of ideas did not differ significantly between the two formats. In dyadic sessions, participants generated fewer ideas that were implemented compared to individual sessions.</t>
  </si>
  <si>
    <t>Play; digital technologies; children; learning; Bronfenbrenner; ecological</t>
  </si>
  <si>
    <t>Ar@cne. Revista electrónica de recursos en internet sobre geografía y ciencias sociales</t>
  </si>
  <si>
    <t>The Acquisition of 21st-Century Skills Through Video Games: Minecraft Design Process Models and Their Web of Class Roles</t>
  </si>
  <si>
    <t>Hobbs, L., Stevens, C., Hartley, J., Ashby, M., Jackson, B. W., Bowden, L., Bibby, J., Bentley, S.</t>
  </si>
  <si>
    <t>Hobbs, L., Stevens, C., Hartley, J., Ashby, M., Lea, I., Bowden, L., Bibby, J., Jackson, B. W., McLaughlin, R., Burke, T.</t>
  </si>
  <si>
    <t>Hurtado, A., Ramírez, V., Talavera, M., Cantó, J.</t>
  </si>
  <si>
    <t>Lincenberg, J., Eynon, R.</t>
  </si>
  <si>
    <t>López López, L., de Wildt, L., Moodie, N.</t>
  </si>
  <si>
    <t>Marklund, B. B., Taylor, A. S. A.</t>
  </si>
  <si>
    <t>Marnewick, C., Chetty, J.</t>
  </si>
  <si>
    <t>Mavoa, J, Carter, M., Gibbs, M</t>
  </si>
  <si>
    <t>McColgan, Michele W., Colesante, Robert J., Andrade, Albert G.</t>
  </si>
  <si>
    <t>Moffat, D. C., Crombie, W., Shabalina, O.</t>
  </si>
  <si>
    <t>Näykki, P., Laru, J., Vuopala, E., Siklander, P., Järvelä, S.</t>
  </si>
  <si>
    <t>Nebel, S., Schneider, S., Beege, M., Kolda, F., Mackiewicz, V., Rey, G. D.</t>
  </si>
  <si>
    <t>Nebel, S., Schneider, S., Rey, G. D.</t>
  </si>
  <si>
    <t>Niemeyer, D. J., Gerber, H. R.</t>
  </si>
  <si>
    <t>Nkadimeng, M., Ankiewicz, P.</t>
  </si>
  <si>
    <t>O'Sullivan, M., Robb, N., Howell, S., Marshall, K., Goodman, L.</t>
  </si>
  <si>
    <t>Overby, A., Jones, Brian L.</t>
  </si>
  <si>
    <t>Panja, V., Berge, J.</t>
  </si>
  <si>
    <t>Pettersen, K., Arnseth, H. C., Silseth, K.</t>
  </si>
  <si>
    <t>Pettersen, K, Ehret, C</t>
  </si>
  <si>
    <t>Politopoulos, A., Ariese, C., Boom, K., Mol, A.</t>
  </si>
  <si>
    <t>Ponce Carrillo, R, Alarcón Pérez, L M</t>
  </si>
  <si>
    <t>Prayaga, L., Davis, J., Whiteside, A., Riffle, A.</t>
  </si>
  <si>
    <t>Pusey, M., Pusey, G.</t>
  </si>
  <si>
    <t>Rader, E, Love, R, Reano, D, Dousay, T A, Wingerter, N</t>
  </si>
  <si>
    <t>Remmerswaal, R., Dykes, R.</t>
  </si>
  <si>
    <t>Ritella, G., Marcone, R.</t>
  </si>
  <si>
    <t>Sáez-López, J. M., Concepción, D., Garrido, D.</t>
  </si>
  <si>
    <t>Sáez-López, J. M., Miller, J., Vázquez-Cano, E., Domínguez-Garrido, M. C.</t>
  </si>
  <si>
    <t>Saito, D., Washizaki, H., Fukazawa, Y.</t>
  </si>
  <si>
    <t>Sánchez-López, I., Pérez-Rodríguez, A., Fandos-Igado, M.</t>
  </si>
  <si>
    <t>Sánchez-López, I., Roig-Vila, R., Pérez-Rodríguez, A.</t>
  </si>
  <si>
    <t>Saricam, U., Yildirim, M.</t>
  </si>
  <si>
    <t>Scott, F, Marsh, J, Murris, K, Ng'ambi, D, Thomsen, B S, Bannister, C, Bishop, J, Dixon, K, Giorza, T, Hetherington, A, Lawrence, C, Nutbrown, B, Parry, B, Peers, J, Scholey, E</t>
  </si>
  <si>
    <t>Slattery, E. J., Butler, D., O’Leary, M., Marshall, K.</t>
  </si>
  <si>
    <t>Stone, B. G., Mills, K. A., Saggers, B.</t>
  </si>
  <si>
    <t>Tablatin, C. L. S., Casano, J. D. L., Rodrigo, M. M. T.</t>
  </si>
  <si>
    <t>Tangkui, R. B., Keong, T. C.</t>
  </si>
  <si>
    <t>Thorsteinsson, G., Niculescu, A.</t>
  </si>
  <si>
    <t>Toukiloglou, P., Xinogalos, S.</t>
  </si>
  <si>
    <t>Vicari, C., Joseph, B., Klimowicz, B., Jaris, H., Asseltine, S., Levin, J.</t>
  </si>
  <si>
    <t>Voiskounsky, A. E., Yermolova, T. D., Yagolkovskiy, S. R., Khromova, V. M.</t>
  </si>
  <si>
    <t>Wernholm, M., Vigmo, S.</t>
  </si>
  <si>
    <t>Villa Montoya, M. I., Padilla, D. S. B., Montoya-Bermúdez, D. F., Ramos, A. M. V.</t>
  </si>
  <si>
    <t>Video Games in English Practice for Minors with and without Attention Deficit and Hyperactivity Disorder</t>
  </si>
  <si>
    <t>Martínez Borreguero, G.; Cortes, T.; Nuñez, M.; Naranjo Correa, F. L.</t>
  </si>
  <si>
    <t>Minecraft activities included familiarizing with the game by moving around, building, and destroying structures, followed by a collaborative building task where pupils constructed a small community and specific structures like a tower.</t>
  </si>
  <si>
    <t>Minecraft activities in an educational context include technical issues with different modes and settings, the potential for pupils to focus more on building than learning, and the challenge of transferring game-based knowledge to real-world concepts.</t>
  </si>
  <si>
    <t>Minecraft in learning include its potential to increase motivation, enhance creative thinking, support learning skills, and foster social connectedness and collaboration.</t>
  </si>
  <si>
    <t>Minecraft can be used to instigate discussions and increase collaboration among pupils. It supports the development of 21st-century skills such as creative thinking and social connectedness.</t>
  </si>
  <si>
    <t>≤ 1 day</t>
  </si>
  <si>
    <t>&gt; 1 day; ≤ 1 week</t>
  </si>
  <si>
    <t>&gt; 1 week; ≤ 1 month</t>
  </si>
  <si>
    <t>&gt; 1 month; ≤ 1 year</t>
  </si>
  <si>
    <t>&gt; 1 year</t>
  </si>
  <si>
    <t>Quasi-Experimental</t>
  </si>
  <si>
    <t>Nº Total</t>
  </si>
  <si>
    <t>Total</t>
  </si>
  <si>
    <t>Education Technology</t>
  </si>
  <si>
    <t>Engineering</t>
  </si>
  <si>
    <t>Maths</t>
  </si>
  <si>
    <t>Special Education</t>
  </si>
  <si>
    <t>Technology</t>
  </si>
  <si>
    <t>Build</t>
  </si>
  <si>
    <t>Explore</t>
  </si>
  <si>
    <t>Create Narratives</t>
  </si>
  <si>
    <t>Farm</t>
  </si>
  <si>
    <t>Science; Maths</t>
  </si>
  <si>
    <t xml:space="preserve">Engineering
</t>
  </si>
  <si>
    <t>Science; Language; Engineering</t>
  </si>
  <si>
    <t>Social Science; Maths</t>
  </si>
  <si>
    <t>Explore; Build</t>
  </si>
  <si>
    <t>Interact</t>
  </si>
  <si>
    <t>Explore; Build; Interact</t>
  </si>
  <si>
    <t>Build; Explore; Create Narratives</t>
  </si>
  <si>
    <t>Write</t>
  </si>
  <si>
    <t>Gather Resources</t>
  </si>
  <si>
    <t>Science, Maths, Social Sciences, Language</t>
  </si>
  <si>
    <t>Build; Write; Create Narratives</t>
  </si>
  <si>
    <t>Gather Resources; PvE</t>
  </si>
  <si>
    <t>Explore; Gather Resources</t>
  </si>
  <si>
    <t>Social Science; Engineering; Language</t>
  </si>
  <si>
    <t>Social Science</t>
  </si>
  <si>
    <t>Explore; Interact</t>
  </si>
  <si>
    <t>Write; Build; Gather Resources; PvE</t>
  </si>
  <si>
    <t>Build; Interact</t>
  </si>
  <si>
    <t>Maths; Social Sciences; Special Education</t>
  </si>
  <si>
    <t>Build; Write</t>
  </si>
  <si>
    <t>Build; Explore; Interact</t>
  </si>
  <si>
    <t>Build; Explore</t>
  </si>
  <si>
    <t>Build; Code</t>
  </si>
  <si>
    <t>Interact; Explore; Farm; Create Narratives</t>
  </si>
  <si>
    <t>Explore; Gather Resources; Build; Interact; Write</t>
  </si>
  <si>
    <t>Maths; Science; Social Sciences; Engineering</t>
  </si>
  <si>
    <t>Build; Interact; Explore</t>
  </si>
  <si>
    <t>Maths; Engineering</t>
  </si>
  <si>
    <t>Interact; Build</t>
  </si>
  <si>
    <t>Build; Farm</t>
  </si>
  <si>
    <t>Engineering; Science</t>
  </si>
  <si>
    <t>Educational Technology; Maths</t>
  </si>
  <si>
    <t>Explore; Code</t>
  </si>
  <si>
    <t xml:space="preserve">Educational Technology </t>
  </si>
  <si>
    <t>Maths; Social Sciences</t>
  </si>
  <si>
    <t>Create Narratives; Build</t>
  </si>
  <si>
    <t>Educational Technology</t>
  </si>
  <si>
    <t>Education Technology; Maths; Science; Language; Arts</t>
  </si>
  <si>
    <t>Language; Social Science; Science; Math; Arts; Technology</t>
  </si>
  <si>
    <t>Build; Create Narratives</t>
  </si>
  <si>
    <t>Maths; Language; Technology; Social Sciences</t>
  </si>
  <si>
    <t>Code; Build; Interact</t>
  </si>
  <si>
    <t>Social Science; Language; Technology</t>
  </si>
  <si>
    <t>Gather Resource; PvE; Create Narratives</t>
  </si>
  <si>
    <t>Gather Resources; Interact; Explore; Build</t>
  </si>
  <si>
    <t>Interact; Explore</t>
  </si>
  <si>
    <t>Build; PvP; Gather Resources; PvE</t>
  </si>
  <si>
    <t xml:space="preserve">Language
</t>
  </si>
  <si>
    <t>Engineering; Social Sciences; Language</t>
  </si>
  <si>
    <t>Social Sciences; Engineering</t>
  </si>
  <si>
    <t>Maths; Social Sciences; Science; Engineering</t>
  </si>
  <si>
    <t>Write; Build; Interact; PvE</t>
  </si>
  <si>
    <t>Arts; Social Sciences; Maths; Language</t>
  </si>
  <si>
    <t>Code; Write; Interact</t>
  </si>
  <si>
    <t>Code; Interact</t>
  </si>
  <si>
    <t>Build; Farm; PvE; Explore</t>
  </si>
  <si>
    <t>Engineering; Technology</t>
  </si>
  <si>
    <t>Language ; Maths</t>
  </si>
  <si>
    <t>Build; PvP</t>
  </si>
  <si>
    <t>Build; Gather Resources</t>
  </si>
  <si>
    <t>Area</t>
  </si>
  <si>
    <t>Mechanics</t>
  </si>
  <si>
    <t>Level</t>
  </si>
  <si>
    <t>DBR (Design-Based Research)</t>
  </si>
  <si>
    <t>Sociocultural</t>
  </si>
  <si>
    <t>Q1;Q2</t>
  </si>
  <si>
    <t>Q3;Q4</t>
  </si>
  <si>
    <t>SANKEY DIAGRAM</t>
  </si>
  <si>
    <t>Fight</t>
  </si>
  <si>
    <t>Others</t>
  </si>
  <si>
    <t>Areas</t>
  </si>
  <si>
    <t>Technology Education</t>
  </si>
  <si>
    <t>Benefits</t>
  </si>
  <si>
    <t>Cognitive constructivism</t>
  </si>
  <si>
    <t>Radical constructivism</t>
  </si>
  <si>
    <t>Experiential learning</t>
  </si>
  <si>
    <t>Social constructivism</t>
  </si>
  <si>
    <t>Mechanics2</t>
  </si>
  <si>
    <t>Science; Engineering; Social Sciences; Maths; Arts.</t>
  </si>
  <si>
    <t>Syntax</t>
  </si>
  <si>
    <t>Scopus &amp; WoS</t>
  </si>
  <si>
    <t>("videogame*" OR "video game*" OR “serious game*”) AND ("educati*" OR "didactic*")</t>
  </si>
  <si>
    <t>"Minecraft"</t>
  </si>
  <si>
    <t>Minecraft Limitations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</si>
</sst>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b/>
      <sz val="11"/>
      <color theme="1"/>
      <name val="Calibri"/>
      <family val="2"/>
      <scheme val="minor"/>
    </font>
    <font>
      <sz val="8"/>
      <name val="Calibri"/>
      <family val="2"/>
      <scheme val="minor"/>
    </font>
    <font>
      <sz val="12"/>
      <name val="Times New Roman"/>
      <family val="1"/>
    </font>
    <font>
      <sz val="12"/>
      <color theme="1"/>
      <name val="Times New Roman"/>
      <family val="1"/>
    </font>
    <font>
      <sz val="12"/>
      <color theme="0"/>
      <name val="Times New Roman"/>
      <family val="1"/>
    </font>
    <font>
      <sz val="11"/>
      <color theme="1"/>
      <name val="Calibri"/>
      <family val="2"/>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7" fillId="0" borderId="0" applyFont="0" applyFill="0" applyBorder="0" applyAlignment="0" applyProtection="0"/>
  </cellStyleXfs>
  <cellXfs count="28">
    <xf numFmtId="0" fontId="0" fillId="0" borderId="0" xfId="0"/>
    <xf numFmtId="0" fontId="0" fillId="0" borderId="0" xfId="0" applyAlignment="1">
      <alignment horizontal="left" vertical="center"/>
    </xf>
    <xf numFmtId="0" fontId="0" fillId="0" borderId="0" xfId="0" applyAlignment="1">
      <alignment vertical="center"/>
    </xf>
    <xf numFmtId="0" fontId="4" fillId="0" borderId="0" xfId="0" applyFont="1" applyAlignment="1">
      <alignment horizontal="left"/>
    </xf>
    <xf numFmtId="0" fontId="3" fillId="0" borderId="0" xfId="0" applyFont="1" applyAlignment="1">
      <alignment horizontal="left"/>
    </xf>
    <xf numFmtId="0" fontId="4" fillId="0" borderId="0" xfId="0" applyFont="1"/>
    <xf numFmtId="0" fontId="4" fillId="0" borderId="0" xfId="0" quotePrefix="1" applyFont="1" applyAlignment="1">
      <alignment horizontal="left"/>
    </xf>
    <xf numFmtId="0" fontId="5" fillId="0" borderId="0" xfId="0" applyFont="1" applyAlignment="1">
      <alignment horizontal="left"/>
    </xf>
    <xf numFmtId="0" fontId="5" fillId="0" borderId="0" xfId="0" applyFont="1" applyAlignment="1">
      <alignment horizontal="left" vertical="center"/>
    </xf>
    <xf numFmtId="0" fontId="0" fillId="0" borderId="0" xfId="0" applyAlignment="1">
      <alignment horizontal="left"/>
    </xf>
    <xf numFmtId="0" fontId="6" fillId="0" borderId="0" xfId="0" applyFont="1" applyAlignment="1">
      <alignment horizontal="left"/>
    </xf>
    <xf numFmtId="0" fontId="0" fillId="0" borderId="0" xfId="0" applyAlignment="1">
      <alignment vertical="top"/>
    </xf>
    <xf numFmtId="0" fontId="0" fillId="0" borderId="0" xfId="0" applyAlignment="1">
      <alignment horizontal="center" vertical="top"/>
    </xf>
    <xf numFmtId="0" fontId="0" fillId="0" borderId="0" xfId="0" applyAlignment="1">
      <alignment horizontal="left" vertical="top"/>
    </xf>
    <xf numFmtId="0" fontId="0" fillId="0" borderId="0" xfId="0" applyAlignment="1">
      <alignment horizontal="center"/>
    </xf>
    <xf numFmtId="10" fontId="0" fillId="0" borderId="0" xfId="1" applyNumberFormat="1" applyFont="1" applyAlignment="1">
      <alignment horizontal="center" vertical="top"/>
    </xf>
    <xf numFmtId="10" fontId="0" fillId="0" borderId="0" xfId="1" applyNumberFormat="1" applyFont="1" applyAlignment="1">
      <alignment horizontal="center"/>
    </xf>
    <xf numFmtId="0" fontId="0" fillId="0" borderId="0" xfId="1" applyNumberFormat="1" applyFont="1" applyFill="1" applyAlignment="1">
      <alignment horizontal="center" vertical="top"/>
    </xf>
    <xf numFmtId="10" fontId="0" fillId="0" borderId="0" xfId="1" applyNumberFormat="1" applyFont="1" applyFill="1" applyAlignment="1">
      <alignment horizontal="center" vertical="top"/>
    </xf>
    <xf numFmtId="164" fontId="0" fillId="0" borderId="0" xfId="1" applyNumberFormat="1" applyFont="1" applyAlignment="1"/>
    <xf numFmtId="9" fontId="0" fillId="0" borderId="0" xfId="1" applyFont="1" applyAlignment="1"/>
    <xf numFmtId="0" fontId="1" fillId="0" borderId="0" xfId="0" applyFont="1" applyAlignment="1">
      <alignment horizontal="lef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wrapText="1"/>
    </xf>
    <xf numFmtId="9" fontId="0" fillId="0" borderId="0" xfId="1" applyFont="1"/>
    <xf numFmtId="10" fontId="0" fillId="0" borderId="0" xfId="1" applyNumberFormat="1" applyFont="1"/>
    <xf numFmtId="0" fontId="0" fillId="0" borderId="0" xfId="0" applyAlignment="1">
      <alignment vertical="top" wrapText="1"/>
    </xf>
  </cellXfs>
  <cellStyles count="2">
    <cellStyle name="Normal" xfId="0" builtinId="0"/>
    <cellStyle name="Porcentaje" xfId="1" builtinId="5"/>
  </cellStyles>
  <dxfs count="51">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0"/>
        <name val="Times New Roman"/>
        <family val="1"/>
        <scheme val="none"/>
      </font>
      <fill>
        <patternFill patternType="none">
          <fgColor indexed="64"/>
          <bgColor auto="1"/>
        </patternFill>
      </fill>
      <alignment horizontal="left" vertical="center"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1"/>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2"/>
        <name val="Times New Roman"/>
        <family val="1"/>
        <scheme val="none"/>
      </font>
      <fill>
        <patternFill patternType="none">
          <fgColor indexed="64"/>
          <bgColor auto="1"/>
        </patternFill>
      </fill>
      <alignment horizontal="left" vertical="bottom" textRotation="0" wrapText="0" indent="0" justifyLastLine="0" shrinkToFit="0" readingOrder="0"/>
    </dxf>
    <dxf>
      <alignment horizontal="center"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0"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s>
  <tableStyles count="0" defaultTableStyle="TableStyleMedium2" defaultPivotStyle="PivotStyleLight16"/>
  <colors>
    <mruColors>
      <color rgb="FF938D8D"/>
      <color rgb="FFFF6565"/>
      <color rgb="FF9999FF"/>
      <color rgb="FFBFF3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barChart>
        <c:barDir val="bar"/>
        <c:grouping val="stacked"/>
        <c:varyColors val="0"/>
        <c:ser>
          <c:idx val="0"/>
          <c:order val="0"/>
          <c:tx>
            <c:strRef>
              <c:f>codes!$F$1</c:f>
              <c:strCache>
                <c:ptCount val="1"/>
                <c:pt idx="0">
                  <c:v>0</c:v>
                </c:pt>
              </c:strCache>
            </c:strRef>
          </c:tx>
          <c:spPr>
            <a:solidFill>
              <a:schemeClr val="accent3">
                <a:tint val="54000"/>
                <a:alpha val="70000"/>
              </a:schemeClr>
            </a:solidFill>
            <a:ln>
              <a:noFill/>
            </a:ln>
            <a:effectLst/>
          </c:spPr>
          <c:invertIfNegative val="0"/>
          <c:cat>
            <c:strRef>
              <c:f>codes!$E$2:$E$7</c:f>
              <c:strCache>
                <c:ptCount val="6"/>
                <c:pt idx="0">
                  <c:v>Childhood School</c:v>
                </c:pt>
                <c:pt idx="1">
                  <c:v>Primary Education</c:v>
                </c:pt>
                <c:pt idx="2">
                  <c:v>Secondary Education</c:v>
                </c:pt>
                <c:pt idx="3">
                  <c:v>Higher Education</c:v>
                </c:pt>
                <c:pt idx="4">
                  <c:v>Teacher Training</c:v>
                </c:pt>
                <c:pt idx="5">
                  <c:v>Several</c:v>
                </c:pt>
              </c:strCache>
            </c:strRef>
          </c:cat>
          <c:val>
            <c:numRef>
              <c:f>codes!$F$2:$F$7</c:f>
              <c:numCache>
                <c:formatCode>General</c:formatCode>
                <c:ptCount val="6"/>
                <c:pt idx="0">
                  <c:v>0</c:v>
                </c:pt>
                <c:pt idx="1">
                  <c:v>6</c:v>
                </c:pt>
                <c:pt idx="2">
                  <c:v>4</c:v>
                </c:pt>
                <c:pt idx="3">
                  <c:v>4</c:v>
                </c:pt>
                <c:pt idx="4">
                  <c:v>1</c:v>
                </c:pt>
                <c:pt idx="5">
                  <c:v>4</c:v>
                </c:pt>
              </c:numCache>
            </c:numRef>
          </c:val>
          <c:extLst>
            <c:ext xmlns:c16="http://schemas.microsoft.com/office/drawing/2014/chart" uri="{C3380CC4-5D6E-409C-BE32-E72D297353CC}">
              <c16:uniqueId val="{00000000-7C6D-4E37-9E0B-6AD8CFEB7C59}"/>
            </c:ext>
          </c:extLst>
        </c:ser>
        <c:ser>
          <c:idx val="1"/>
          <c:order val="1"/>
          <c:tx>
            <c:strRef>
              <c:f>codes!$G$1</c:f>
              <c:strCache>
                <c:ptCount val="1"/>
                <c:pt idx="0">
                  <c:v>1</c:v>
                </c:pt>
              </c:strCache>
            </c:strRef>
          </c:tx>
          <c:spPr>
            <a:solidFill>
              <a:schemeClr val="accent3">
                <a:tint val="77000"/>
                <a:alpha val="70000"/>
              </a:schemeClr>
            </a:solidFill>
            <a:ln>
              <a:noFill/>
            </a:ln>
            <a:effectLst/>
          </c:spPr>
          <c:invertIfNegative val="0"/>
          <c:cat>
            <c:strRef>
              <c:f>codes!$E$2:$E$7</c:f>
              <c:strCache>
                <c:ptCount val="6"/>
                <c:pt idx="0">
                  <c:v>Childhood School</c:v>
                </c:pt>
                <c:pt idx="1">
                  <c:v>Primary Education</c:v>
                </c:pt>
                <c:pt idx="2">
                  <c:v>Secondary Education</c:v>
                </c:pt>
                <c:pt idx="3">
                  <c:v>Higher Education</c:v>
                </c:pt>
                <c:pt idx="4">
                  <c:v>Teacher Training</c:v>
                </c:pt>
                <c:pt idx="5">
                  <c:v>Several</c:v>
                </c:pt>
              </c:strCache>
            </c:strRef>
          </c:cat>
          <c:val>
            <c:numRef>
              <c:f>codes!$G$2:$G$7</c:f>
              <c:numCache>
                <c:formatCode>General</c:formatCode>
                <c:ptCount val="6"/>
                <c:pt idx="0">
                  <c:v>0</c:v>
                </c:pt>
                <c:pt idx="1">
                  <c:v>2</c:v>
                </c:pt>
                <c:pt idx="2">
                  <c:v>1</c:v>
                </c:pt>
                <c:pt idx="3">
                  <c:v>0</c:v>
                </c:pt>
                <c:pt idx="4">
                  <c:v>0</c:v>
                </c:pt>
                <c:pt idx="5">
                  <c:v>2</c:v>
                </c:pt>
              </c:numCache>
            </c:numRef>
          </c:val>
          <c:extLst>
            <c:ext xmlns:c16="http://schemas.microsoft.com/office/drawing/2014/chart" uri="{C3380CC4-5D6E-409C-BE32-E72D297353CC}">
              <c16:uniqueId val="{00000001-7C6D-4E37-9E0B-6AD8CFEB7C59}"/>
            </c:ext>
          </c:extLst>
        </c:ser>
        <c:ser>
          <c:idx val="2"/>
          <c:order val="2"/>
          <c:tx>
            <c:strRef>
              <c:f>codes!$H$1</c:f>
              <c:strCache>
                <c:ptCount val="1"/>
                <c:pt idx="0">
                  <c:v>2</c:v>
                </c:pt>
              </c:strCache>
            </c:strRef>
          </c:tx>
          <c:spPr>
            <a:solidFill>
              <a:schemeClr val="accent3">
                <a:alpha val="70000"/>
              </a:schemeClr>
            </a:solidFill>
            <a:ln>
              <a:noFill/>
            </a:ln>
            <a:effectLst/>
          </c:spPr>
          <c:invertIfNegative val="0"/>
          <c:cat>
            <c:strRef>
              <c:f>codes!$E$2:$E$7</c:f>
              <c:strCache>
                <c:ptCount val="6"/>
                <c:pt idx="0">
                  <c:v>Childhood School</c:v>
                </c:pt>
                <c:pt idx="1">
                  <c:v>Primary Education</c:v>
                </c:pt>
                <c:pt idx="2">
                  <c:v>Secondary Education</c:v>
                </c:pt>
                <c:pt idx="3">
                  <c:v>Higher Education</c:v>
                </c:pt>
                <c:pt idx="4">
                  <c:v>Teacher Training</c:v>
                </c:pt>
                <c:pt idx="5">
                  <c:v>Several</c:v>
                </c:pt>
              </c:strCache>
            </c:strRef>
          </c:cat>
          <c:val>
            <c:numRef>
              <c:f>codes!$H$2:$H$7</c:f>
              <c:numCache>
                <c:formatCode>General</c:formatCode>
                <c:ptCount val="6"/>
                <c:pt idx="0">
                  <c:v>0</c:v>
                </c:pt>
                <c:pt idx="1">
                  <c:v>3</c:v>
                </c:pt>
                <c:pt idx="2">
                  <c:v>5</c:v>
                </c:pt>
                <c:pt idx="3">
                  <c:v>0</c:v>
                </c:pt>
                <c:pt idx="4">
                  <c:v>3</c:v>
                </c:pt>
                <c:pt idx="5">
                  <c:v>4</c:v>
                </c:pt>
              </c:numCache>
            </c:numRef>
          </c:val>
          <c:extLst>
            <c:ext xmlns:c16="http://schemas.microsoft.com/office/drawing/2014/chart" uri="{C3380CC4-5D6E-409C-BE32-E72D297353CC}">
              <c16:uniqueId val="{00000002-7C6D-4E37-9E0B-6AD8CFEB7C59}"/>
            </c:ext>
          </c:extLst>
        </c:ser>
        <c:ser>
          <c:idx val="3"/>
          <c:order val="3"/>
          <c:tx>
            <c:strRef>
              <c:f>codes!$I$1</c:f>
              <c:strCache>
                <c:ptCount val="1"/>
                <c:pt idx="0">
                  <c:v>3</c:v>
                </c:pt>
              </c:strCache>
            </c:strRef>
          </c:tx>
          <c:spPr>
            <a:solidFill>
              <a:schemeClr val="accent3">
                <a:shade val="76000"/>
                <a:alpha val="70000"/>
              </a:schemeClr>
            </a:solidFill>
            <a:ln>
              <a:noFill/>
            </a:ln>
            <a:effectLst/>
          </c:spPr>
          <c:invertIfNegative val="0"/>
          <c:cat>
            <c:strRef>
              <c:f>codes!$E$2:$E$7</c:f>
              <c:strCache>
                <c:ptCount val="6"/>
                <c:pt idx="0">
                  <c:v>Childhood School</c:v>
                </c:pt>
                <c:pt idx="1">
                  <c:v>Primary Education</c:v>
                </c:pt>
                <c:pt idx="2">
                  <c:v>Secondary Education</c:v>
                </c:pt>
                <c:pt idx="3">
                  <c:v>Higher Education</c:v>
                </c:pt>
                <c:pt idx="4">
                  <c:v>Teacher Training</c:v>
                </c:pt>
                <c:pt idx="5">
                  <c:v>Several</c:v>
                </c:pt>
              </c:strCache>
            </c:strRef>
          </c:cat>
          <c:val>
            <c:numRef>
              <c:f>codes!$I$2:$I$7</c:f>
              <c:numCache>
                <c:formatCode>General</c:formatCode>
                <c:ptCount val="6"/>
                <c:pt idx="0">
                  <c:v>0</c:v>
                </c:pt>
                <c:pt idx="1">
                  <c:v>6</c:v>
                </c:pt>
                <c:pt idx="2">
                  <c:v>2</c:v>
                </c:pt>
                <c:pt idx="3">
                  <c:v>4</c:v>
                </c:pt>
                <c:pt idx="4">
                  <c:v>1</c:v>
                </c:pt>
                <c:pt idx="5">
                  <c:v>4</c:v>
                </c:pt>
              </c:numCache>
            </c:numRef>
          </c:val>
          <c:extLst>
            <c:ext xmlns:c16="http://schemas.microsoft.com/office/drawing/2014/chart" uri="{C3380CC4-5D6E-409C-BE32-E72D297353CC}">
              <c16:uniqueId val="{00000003-7C6D-4E37-9E0B-6AD8CFEB7C59}"/>
            </c:ext>
          </c:extLst>
        </c:ser>
        <c:ser>
          <c:idx val="4"/>
          <c:order val="4"/>
          <c:tx>
            <c:strRef>
              <c:f>codes!$J$1</c:f>
              <c:strCache>
                <c:ptCount val="1"/>
                <c:pt idx="0">
                  <c:v>4</c:v>
                </c:pt>
              </c:strCache>
            </c:strRef>
          </c:tx>
          <c:spPr>
            <a:solidFill>
              <a:schemeClr val="accent3">
                <a:shade val="53000"/>
                <a:alpha val="70000"/>
              </a:schemeClr>
            </a:solidFill>
            <a:ln>
              <a:noFill/>
            </a:ln>
            <a:effectLst/>
          </c:spPr>
          <c:invertIfNegative val="0"/>
          <c:cat>
            <c:strRef>
              <c:f>codes!$E$2:$E$7</c:f>
              <c:strCache>
                <c:ptCount val="6"/>
                <c:pt idx="0">
                  <c:v>Childhood School</c:v>
                </c:pt>
                <c:pt idx="1">
                  <c:v>Primary Education</c:v>
                </c:pt>
                <c:pt idx="2">
                  <c:v>Secondary Education</c:v>
                </c:pt>
                <c:pt idx="3">
                  <c:v>Higher Education</c:v>
                </c:pt>
                <c:pt idx="4">
                  <c:v>Teacher Training</c:v>
                </c:pt>
                <c:pt idx="5">
                  <c:v>Several</c:v>
                </c:pt>
              </c:strCache>
            </c:strRef>
          </c:cat>
          <c:val>
            <c:numRef>
              <c:f>codes!$J$2:$J$7</c:f>
              <c:numCache>
                <c:formatCode>General</c:formatCode>
                <c:ptCount val="6"/>
                <c:pt idx="0">
                  <c:v>2</c:v>
                </c:pt>
                <c:pt idx="1">
                  <c:v>3</c:v>
                </c:pt>
                <c:pt idx="2">
                  <c:v>0</c:v>
                </c:pt>
                <c:pt idx="3">
                  <c:v>0</c:v>
                </c:pt>
                <c:pt idx="4">
                  <c:v>0</c:v>
                </c:pt>
                <c:pt idx="5">
                  <c:v>1</c:v>
                </c:pt>
              </c:numCache>
            </c:numRef>
          </c:val>
          <c:extLst>
            <c:ext xmlns:c16="http://schemas.microsoft.com/office/drawing/2014/chart" uri="{C3380CC4-5D6E-409C-BE32-E72D297353CC}">
              <c16:uniqueId val="{00000004-7C6D-4E37-9E0B-6AD8CFEB7C59}"/>
            </c:ext>
          </c:extLst>
        </c:ser>
        <c:dLbls>
          <c:showLegendKey val="0"/>
          <c:showVal val="0"/>
          <c:showCatName val="0"/>
          <c:showSerName val="0"/>
          <c:showPercent val="0"/>
          <c:showBubbleSize val="0"/>
        </c:dLbls>
        <c:gapWidth val="50"/>
        <c:overlap val="100"/>
        <c:axId val="1356116511"/>
        <c:axId val="1356115071"/>
      </c:barChart>
      <c:catAx>
        <c:axId val="1356116511"/>
        <c:scaling>
          <c:orientation val="minMax"/>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headEnd type="none" w="sm" len="sm"/>
            <a:tailEnd type="none" w="sm" len="sm"/>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56115071"/>
        <c:crosses val="autoZero"/>
        <c:auto val="1"/>
        <c:lblAlgn val="ctr"/>
        <c:lblOffset val="100"/>
        <c:noMultiLvlLbl val="0"/>
      </c:catAx>
      <c:valAx>
        <c:axId val="1356115071"/>
        <c:scaling>
          <c:orientation val="minMax"/>
        </c:scaling>
        <c:delete val="0"/>
        <c:axPos val="b"/>
        <c:majorGridlines>
          <c:spPr>
            <a:ln w="9525" cap="flat" cmpd="sng" algn="ctr">
              <a:gradFill>
                <a:gsLst>
                  <a:gs pos="0">
                    <a:schemeClr val="tx1">
                      <a:lumMod val="5000"/>
                      <a:lumOff val="95000"/>
                    </a:schemeClr>
                  </a:gs>
                  <a:gs pos="100000">
                    <a:schemeClr val="tx1">
                      <a:lumMod val="15000"/>
                      <a:lumOff val="8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5611651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codes!$E$14</c:f>
              <c:strCache>
                <c:ptCount val="1"/>
                <c:pt idx="0">
                  <c:v>M</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codes!$F$13:$J$13</c:f>
              <c:strCache>
                <c:ptCount val="5"/>
                <c:pt idx="0">
                  <c:v>Q1</c:v>
                </c:pt>
                <c:pt idx="1">
                  <c:v>Q2</c:v>
                </c:pt>
                <c:pt idx="2">
                  <c:v>Q3</c:v>
                </c:pt>
                <c:pt idx="3">
                  <c:v>Q4</c:v>
                </c:pt>
                <c:pt idx="4">
                  <c:v>N/A</c:v>
                </c:pt>
              </c:strCache>
            </c:strRef>
          </c:cat>
          <c:val>
            <c:numRef>
              <c:f>codes!$F$14:$J$14</c:f>
              <c:numCache>
                <c:formatCode>General</c:formatCode>
                <c:ptCount val="5"/>
                <c:pt idx="0">
                  <c:v>20</c:v>
                </c:pt>
                <c:pt idx="1">
                  <c:v>16</c:v>
                </c:pt>
                <c:pt idx="2">
                  <c:v>7</c:v>
                </c:pt>
                <c:pt idx="3">
                  <c:v>1</c:v>
                </c:pt>
                <c:pt idx="4">
                  <c:v>7</c:v>
                </c:pt>
              </c:numCache>
            </c:numRef>
          </c:val>
          <c:extLst>
            <c:ext xmlns:c16="http://schemas.microsoft.com/office/drawing/2014/chart" uri="{C3380CC4-5D6E-409C-BE32-E72D297353CC}">
              <c16:uniqueId val="{00000000-5FF6-4D8F-A813-75BC3A14ECBE}"/>
            </c:ext>
          </c:extLst>
        </c:ser>
        <c:ser>
          <c:idx val="1"/>
          <c:order val="1"/>
          <c:tx>
            <c:strRef>
              <c:f>codes!$E$15</c:f>
              <c:strCache>
                <c:ptCount val="1"/>
                <c:pt idx="0">
                  <c:v>F</c:v>
                </c:pt>
              </c:strCache>
            </c:strRef>
          </c:tx>
          <c:spPr>
            <a:solidFill>
              <a:srgbClr val="9999FF"/>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codes!$F$13:$J$13</c:f>
              <c:strCache>
                <c:ptCount val="5"/>
                <c:pt idx="0">
                  <c:v>Q1</c:v>
                </c:pt>
                <c:pt idx="1">
                  <c:v>Q2</c:v>
                </c:pt>
                <c:pt idx="2">
                  <c:v>Q3</c:v>
                </c:pt>
                <c:pt idx="3">
                  <c:v>Q4</c:v>
                </c:pt>
                <c:pt idx="4">
                  <c:v>N/A</c:v>
                </c:pt>
              </c:strCache>
            </c:strRef>
          </c:cat>
          <c:val>
            <c:numRef>
              <c:f>codes!$F$15:$J$15</c:f>
              <c:numCache>
                <c:formatCode>General</c:formatCode>
                <c:ptCount val="5"/>
                <c:pt idx="0">
                  <c:v>14</c:v>
                </c:pt>
                <c:pt idx="1">
                  <c:v>9</c:v>
                </c:pt>
                <c:pt idx="2">
                  <c:v>10</c:v>
                </c:pt>
                <c:pt idx="3">
                  <c:v>1</c:v>
                </c:pt>
                <c:pt idx="4">
                  <c:v>17</c:v>
                </c:pt>
              </c:numCache>
            </c:numRef>
          </c:val>
          <c:extLst>
            <c:ext xmlns:c16="http://schemas.microsoft.com/office/drawing/2014/chart" uri="{C3380CC4-5D6E-409C-BE32-E72D297353CC}">
              <c16:uniqueId val="{00000001-5FF6-4D8F-A813-75BC3A14ECBE}"/>
            </c:ext>
          </c:extLst>
        </c:ser>
        <c:dLbls>
          <c:dLblPos val="outEnd"/>
          <c:showLegendKey val="0"/>
          <c:showVal val="1"/>
          <c:showCatName val="0"/>
          <c:showSerName val="0"/>
          <c:showPercent val="0"/>
          <c:showBubbleSize val="0"/>
        </c:dLbls>
        <c:gapWidth val="219"/>
        <c:overlap val="-27"/>
        <c:axId val="1747119024"/>
        <c:axId val="1747121904"/>
      </c:barChart>
      <c:catAx>
        <c:axId val="1747119024"/>
        <c:scaling>
          <c:orientation val="minMax"/>
        </c:scaling>
        <c:delete val="1"/>
        <c:axPos val="b"/>
        <c:numFmt formatCode="General" sourceLinked="1"/>
        <c:majorTickMark val="none"/>
        <c:minorTickMark val="none"/>
        <c:tickLblPos val="nextTo"/>
        <c:crossAx val="1747121904"/>
        <c:crosses val="autoZero"/>
        <c:auto val="1"/>
        <c:lblAlgn val="ctr"/>
        <c:lblOffset val="100"/>
        <c:noMultiLvlLbl val="0"/>
      </c:catAx>
      <c:valAx>
        <c:axId val="1747121904"/>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7471190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ofPieChart>
        <c:ofPieType val="bar"/>
        <c:varyColors val="1"/>
        <c:ser>
          <c:idx val="0"/>
          <c:order val="0"/>
          <c:spPr>
            <a:ln>
              <a:noFill/>
            </a:ln>
          </c:spPr>
          <c:dPt>
            <c:idx val="0"/>
            <c:bubble3D val="0"/>
            <c:spPr>
              <a:solidFill>
                <a:srgbClr val="938D8D"/>
              </a:solidFill>
              <a:ln w="9525" cap="flat" cmpd="sng" algn="ctr">
                <a:noFill/>
                <a:round/>
              </a:ln>
              <a:effectLst/>
            </c:spPr>
            <c:extLst>
              <c:ext xmlns:c16="http://schemas.microsoft.com/office/drawing/2014/chart" uri="{C3380CC4-5D6E-409C-BE32-E72D297353CC}">
                <c16:uniqueId val="{00000001-D02F-4BDB-A213-A9AF719B61A6}"/>
              </c:ext>
            </c:extLst>
          </c:dPt>
          <c:dPt>
            <c:idx val="1"/>
            <c:bubble3D val="0"/>
            <c:spPr>
              <a:solidFill>
                <a:schemeClr val="bg1">
                  <a:lumMod val="65000"/>
                </a:schemeClr>
              </a:solidFill>
              <a:ln w="9525" cap="flat" cmpd="sng" algn="ctr">
                <a:noFill/>
                <a:round/>
              </a:ln>
              <a:effectLst/>
            </c:spPr>
            <c:extLst>
              <c:ext xmlns:c16="http://schemas.microsoft.com/office/drawing/2014/chart" uri="{C3380CC4-5D6E-409C-BE32-E72D297353CC}">
                <c16:uniqueId val="{00000003-D02F-4BDB-A213-A9AF719B61A6}"/>
              </c:ext>
            </c:extLst>
          </c:dPt>
          <c:dPt>
            <c:idx val="2"/>
            <c:bubble3D val="0"/>
            <c:spPr>
              <a:solidFill>
                <a:schemeClr val="bg1">
                  <a:lumMod val="85000"/>
                </a:schemeClr>
              </a:solidFill>
              <a:ln w="9525" cap="flat" cmpd="sng" algn="ctr">
                <a:noFill/>
                <a:round/>
              </a:ln>
              <a:effectLst/>
            </c:spPr>
            <c:extLst>
              <c:ext xmlns:c16="http://schemas.microsoft.com/office/drawing/2014/chart" uri="{C3380CC4-5D6E-409C-BE32-E72D297353CC}">
                <c16:uniqueId val="{00000005-D02F-4BDB-A213-A9AF719B61A6}"/>
              </c:ext>
            </c:extLst>
          </c:dPt>
          <c:dPt>
            <c:idx val="3"/>
            <c:bubble3D val="0"/>
            <c:spPr>
              <a:solidFill>
                <a:schemeClr val="accent2">
                  <a:lumMod val="60000"/>
                  <a:lumOff val="40000"/>
                </a:schemeClr>
              </a:solidFill>
              <a:ln w="9525" cap="flat" cmpd="sng" algn="ctr">
                <a:noFill/>
                <a:round/>
              </a:ln>
              <a:effectLst/>
            </c:spPr>
            <c:extLst>
              <c:ext xmlns:c16="http://schemas.microsoft.com/office/drawing/2014/chart" uri="{C3380CC4-5D6E-409C-BE32-E72D297353CC}">
                <c16:uniqueId val="{00000007-D02F-4BDB-A213-A9AF719B61A6}"/>
              </c:ext>
            </c:extLst>
          </c:dPt>
          <c:dPt>
            <c:idx val="4"/>
            <c:bubble3D val="0"/>
            <c:spPr>
              <a:solidFill>
                <a:schemeClr val="accent6">
                  <a:lumMod val="40000"/>
                  <a:lumOff val="60000"/>
                </a:schemeClr>
              </a:solidFill>
              <a:ln w="9525" cap="flat" cmpd="sng" algn="ctr">
                <a:noFill/>
                <a:round/>
              </a:ln>
              <a:effectLst/>
            </c:spPr>
            <c:extLst>
              <c:ext xmlns:c16="http://schemas.microsoft.com/office/drawing/2014/chart" uri="{C3380CC4-5D6E-409C-BE32-E72D297353CC}">
                <c16:uniqueId val="{00000008-A803-40E2-A686-63E7E193E39D}"/>
              </c:ext>
            </c:extLst>
          </c:dPt>
          <c:dPt>
            <c:idx val="5"/>
            <c:bubble3D val="0"/>
            <c:spPr>
              <a:solidFill>
                <a:schemeClr val="accent4">
                  <a:lumMod val="40000"/>
                  <a:lumOff val="60000"/>
                </a:schemeClr>
              </a:solidFill>
              <a:ln w="9525" cap="flat" cmpd="sng" algn="ctr">
                <a:noFill/>
                <a:round/>
              </a:ln>
              <a:effectLst/>
            </c:spPr>
            <c:extLst>
              <c:ext xmlns:c16="http://schemas.microsoft.com/office/drawing/2014/chart" uri="{C3380CC4-5D6E-409C-BE32-E72D297353CC}">
                <c16:uniqueId val="{00000009-A803-40E2-A686-63E7E193E39D}"/>
              </c:ext>
            </c:extLst>
          </c:dPt>
          <c:dPt>
            <c:idx val="6"/>
            <c:bubble3D val="0"/>
            <c:spPr>
              <a:solidFill>
                <a:schemeClr val="accent5">
                  <a:lumMod val="40000"/>
                  <a:lumOff val="60000"/>
                </a:schemeClr>
              </a:solidFill>
              <a:ln w="9525" cap="flat" cmpd="sng" algn="ctr">
                <a:noFill/>
                <a:round/>
              </a:ln>
              <a:effectLst/>
            </c:spPr>
            <c:extLst>
              <c:ext xmlns:c16="http://schemas.microsoft.com/office/drawing/2014/chart" uri="{C3380CC4-5D6E-409C-BE32-E72D297353CC}">
                <c16:uniqueId val="{0000000A-A803-40E2-A686-63E7E193E39D}"/>
              </c:ext>
            </c:extLst>
          </c:dPt>
          <c:dPt>
            <c:idx val="7"/>
            <c:bubble3D val="0"/>
            <c:spPr>
              <a:solidFill>
                <a:srgbClr val="9999FF"/>
              </a:solidFill>
              <a:ln w="9525" cap="flat" cmpd="sng" algn="ctr">
                <a:noFill/>
                <a:round/>
              </a:ln>
              <a:effectLst/>
            </c:spPr>
            <c:extLst>
              <c:ext xmlns:c16="http://schemas.microsoft.com/office/drawing/2014/chart" uri="{C3380CC4-5D6E-409C-BE32-E72D297353CC}">
                <c16:uniqueId val="{0000000B-A803-40E2-A686-63E7E193E39D}"/>
              </c:ext>
            </c:extLst>
          </c:dPt>
          <c:dPt>
            <c:idx val="8"/>
            <c:bubble3D val="0"/>
            <c:spPr>
              <a:solidFill>
                <a:srgbClr val="FF6565"/>
              </a:solidFill>
              <a:ln w="9525" cap="flat" cmpd="sng" algn="ctr">
                <a:noFill/>
                <a:round/>
              </a:ln>
              <a:effectLst/>
            </c:spPr>
            <c:extLst>
              <c:ext xmlns:c16="http://schemas.microsoft.com/office/drawing/2014/chart" uri="{C3380CC4-5D6E-409C-BE32-E72D297353CC}">
                <c16:uniqueId val="{0000000C-A803-40E2-A686-63E7E193E39D}"/>
              </c:ext>
            </c:extLst>
          </c:dPt>
          <c:dPt>
            <c:idx val="9"/>
            <c:bubble3D val="0"/>
            <c:spPr>
              <a:solidFill>
                <a:srgbClr val="938D8D"/>
              </a:solidFill>
              <a:ln w="9525" cap="flat" cmpd="sng" algn="ctr">
                <a:noFill/>
                <a:round/>
              </a:ln>
              <a:effectLst/>
            </c:spPr>
            <c:extLst>
              <c:ext xmlns:c16="http://schemas.microsoft.com/office/drawing/2014/chart" uri="{C3380CC4-5D6E-409C-BE32-E72D297353CC}">
                <c16:uniqueId val="{0000000D-A803-40E2-A686-63E7E193E39D}"/>
              </c:ext>
            </c:extLst>
          </c:dPt>
          <c:cat>
            <c:strRef>
              <c:f>codes!$K$69:$K$77</c:f>
              <c:strCache>
                <c:ptCount val="9"/>
                <c:pt idx="0">
                  <c:v>Constructivism</c:v>
                </c:pt>
                <c:pt idx="1">
                  <c:v>Sociocultural</c:v>
                </c:pt>
                <c:pt idx="2">
                  <c:v>Other</c:v>
                </c:pt>
                <c:pt idx="3">
                  <c:v>Social constructivism</c:v>
                </c:pt>
                <c:pt idx="4">
                  <c:v>Constructionism</c:v>
                </c:pt>
                <c:pt idx="5">
                  <c:v>Socioconstructivism</c:v>
                </c:pt>
                <c:pt idx="6">
                  <c:v>Cognitive constructivism</c:v>
                </c:pt>
                <c:pt idx="7">
                  <c:v>Radical constructivism</c:v>
                </c:pt>
                <c:pt idx="8">
                  <c:v>Experiential learning</c:v>
                </c:pt>
              </c:strCache>
            </c:strRef>
          </c:cat>
          <c:val>
            <c:numRef>
              <c:f>codes!$L$69:$L$77</c:f>
              <c:numCache>
                <c:formatCode>General</c:formatCode>
                <c:ptCount val="9"/>
                <c:pt idx="0">
                  <c:v>65</c:v>
                </c:pt>
                <c:pt idx="1">
                  <c:v>7</c:v>
                </c:pt>
                <c:pt idx="2">
                  <c:v>3</c:v>
                </c:pt>
                <c:pt idx="3">
                  <c:v>5</c:v>
                </c:pt>
                <c:pt idx="4">
                  <c:v>4</c:v>
                </c:pt>
                <c:pt idx="5">
                  <c:v>3</c:v>
                </c:pt>
                <c:pt idx="6">
                  <c:v>1</c:v>
                </c:pt>
                <c:pt idx="7">
                  <c:v>1</c:v>
                </c:pt>
                <c:pt idx="8">
                  <c:v>1</c:v>
                </c:pt>
              </c:numCache>
            </c:numRef>
          </c:val>
          <c:extLst>
            <c:ext xmlns:c16="http://schemas.microsoft.com/office/drawing/2014/chart" uri="{C3380CC4-5D6E-409C-BE32-E72D297353CC}">
              <c16:uniqueId val="{00000008-D02F-4BDB-A213-A9AF719B61A6}"/>
            </c:ext>
          </c:extLst>
        </c:ser>
        <c:dLbls>
          <c:showLegendKey val="0"/>
          <c:showVal val="0"/>
          <c:showCatName val="0"/>
          <c:showSerName val="0"/>
          <c:showPercent val="0"/>
          <c:showBubbleSize val="0"/>
          <c:showLeaderLines val="1"/>
        </c:dLbls>
        <c:gapWidth val="100"/>
        <c:splitType val="pos"/>
        <c:splitPos val="6"/>
        <c:secondPieSize val="75"/>
        <c:serLines>
          <c:spPr>
            <a:ln w="9525">
              <a:solidFill>
                <a:schemeClr val="tx1">
                  <a:lumMod val="35000"/>
                  <a:lumOff val="65000"/>
                </a:schemeClr>
              </a:solidFill>
              <a:prstDash val="dash"/>
            </a:ln>
            <a:effectLst/>
          </c:spPr>
        </c:serLines>
      </c:of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3">
  <a:schemeClr val="accent3"/>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30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headEnd type="none" w="sm" len="sm"/>
        <a:tailEnd type="none" w="sm" len="sm"/>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alpha val="70000"/>
        </a:schemeClr>
      </a:solidFill>
    </cs:spPr>
  </cs:dataPoint>
  <cs:dataPoint3D>
    <cs:lnRef idx="0"/>
    <cs:fillRef idx="0">
      <cs:styleClr val="auto"/>
    </cs:fillRef>
    <cs:effectRef idx="0"/>
    <cs:fontRef idx="minor">
      <a:schemeClr val="tx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a:gsLst>
          <a:gs pos="0">
            <a:schemeClr val="phClr"/>
          </a:gs>
          <a:gs pos="46000">
            <a:schemeClr val="phClr"/>
          </a:gs>
          <a:gs pos="100000">
            <a:schemeClr val="phClr">
              <a:lumMod val="20000"/>
              <a:lumOff val="80000"/>
              <a:alpha val="0"/>
            </a:schemeClr>
          </a:gs>
        </a:gsLst>
        <a:path path="circle">
          <a:fillToRect l="50000" t="-80000" r="50000" b="180000"/>
        </a:path>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0">
              <a:schemeClr val="tx1">
                <a:lumMod val="5000"/>
                <a:lumOff val="95000"/>
              </a:schemeClr>
            </a:gs>
            <a:gs pos="100000">
              <a:schemeClr val="tx1">
                <a:lumMod val="15000"/>
                <a:lumOff val="85000"/>
              </a:schemeClr>
            </a:gs>
          </a:gsLst>
          <a:lin ang="5400000" scaled="0"/>
        </a:gradFill>
        <a:round/>
      </a:ln>
    </cs:spPr>
  </cs:gridlineMajor>
  <cs:gridlineMinor>
    <cs:lnRef idx="0"/>
    <cs:fillRef idx="0"/>
    <cs:effectRef idx="0"/>
    <cs:fontRef idx="minor">
      <a:schemeClr val="dk1"/>
    </cs:fontRef>
    <cs:spPr>
      <a:ln w="9525" cap="flat" cmpd="sng" algn="ctr">
        <a:gradFill>
          <a:gsLst>
            <a:gs pos="0">
              <a:schemeClr val="tx1">
                <a:lumMod val="5000"/>
                <a:lumOff val="95000"/>
              </a:schemeClr>
            </a:gs>
            <a:gs pos="100000">
              <a:schemeClr val="tx1">
                <a:lumMod val="15000"/>
                <a:lumOff val="8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12</xdr:col>
      <xdr:colOff>863413</xdr:colOff>
      <xdr:row>0</xdr:row>
      <xdr:rowOff>127185</xdr:rowOff>
    </xdr:from>
    <xdr:to>
      <xdr:col>20</xdr:col>
      <xdr:colOff>920563</xdr:colOff>
      <xdr:row>15</xdr:row>
      <xdr:rowOff>174810</xdr:rowOff>
    </xdr:to>
    <xdr:graphicFrame macro="">
      <xdr:nvGraphicFramePr>
        <xdr:cNvPr id="2" name="Gráfico 1">
          <a:extLst>
            <a:ext uri="{FF2B5EF4-FFF2-40B4-BE49-F238E27FC236}">
              <a16:creationId xmlns:a16="http://schemas.microsoft.com/office/drawing/2014/main" id="{2FDE63D3-B46F-3B5E-68F4-D616FF1EA65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190500</xdr:colOff>
      <xdr:row>15</xdr:row>
      <xdr:rowOff>104774</xdr:rowOff>
    </xdr:from>
    <xdr:to>
      <xdr:col>12</xdr:col>
      <xdr:colOff>571500</xdr:colOff>
      <xdr:row>25</xdr:row>
      <xdr:rowOff>76199</xdr:rowOff>
    </xdr:to>
    <xdr:graphicFrame macro="">
      <xdr:nvGraphicFramePr>
        <xdr:cNvPr id="3" name="Gráfico 2">
          <a:extLst>
            <a:ext uri="{FF2B5EF4-FFF2-40B4-BE49-F238E27FC236}">
              <a16:creationId xmlns:a16="http://schemas.microsoft.com/office/drawing/2014/main" id="{F53E65E4-4ACF-40FA-91C7-1ED41B3952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324970</xdr:colOff>
      <xdr:row>62</xdr:row>
      <xdr:rowOff>78441</xdr:rowOff>
    </xdr:from>
    <xdr:to>
      <xdr:col>9</xdr:col>
      <xdr:colOff>414618</xdr:colOff>
      <xdr:row>82</xdr:row>
      <xdr:rowOff>112059</xdr:rowOff>
    </xdr:to>
    <xdr:graphicFrame macro="">
      <xdr:nvGraphicFramePr>
        <xdr:cNvPr id="4" name="Gráfico 3">
          <a:extLst>
            <a:ext uri="{FF2B5EF4-FFF2-40B4-BE49-F238E27FC236}">
              <a16:creationId xmlns:a16="http://schemas.microsoft.com/office/drawing/2014/main" id="{9E91F52A-87BD-4574-93FB-10A7AEBC79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2EBAE79-3F51-4603-A870-E9DC92114330}" name="Tabla1" displayName="Tabla1" ref="A1:AJ103" totalsRowShown="0" headerRowDxfId="1" dataDxfId="0">
  <autoFilter ref="A1:AJ103" xr:uid="{72EBAE79-3F51-4603-A870-E9DC92114330}"/>
  <sortState xmlns:xlrd2="http://schemas.microsoft.com/office/spreadsheetml/2017/richdata2" ref="A2:AJ103">
    <sortCondition ref="B1:B103"/>
  </sortState>
  <tableColumns count="36">
    <tableColumn id="1" xr3:uid="{EC432678-5EBC-44F7-9445-B972E848EBE2}" name="Code" dataDxfId="37"/>
    <tableColumn id="2" xr3:uid="{A89BA312-8024-40B2-8AE9-C1A8FCDC7CEA}" name="Author" dataDxfId="36"/>
    <tableColumn id="26" xr3:uid="{E3898E21-FAC7-40E2-A432-242977CDD04C}" name="Gender" dataDxfId="35"/>
    <tableColumn id="3" xr3:uid="{BB41F994-4ACC-4DC6-AEBF-C4DC7F7EBCCD}" name="Title" dataDxfId="34"/>
    <tableColumn id="4" xr3:uid="{65B58D25-CA4B-45FD-A20F-006827940147}" name="Keywords" dataDxfId="33"/>
    <tableColumn id="5" xr3:uid="{8DC58A13-9ED9-497B-96F8-86F777AEE2F0}" name="Publication Year" dataDxfId="32"/>
    <tableColumn id="6" xr3:uid="{2E4441A0-8A0C-4EA4-BA59-0D86D1302453}" name="Publication Title" dataDxfId="31"/>
    <tableColumn id="8" xr3:uid="{B1DC9FE4-F8E4-43CE-8F14-E8E76DE9A648}" name="Q Level (2023)" dataDxfId="30"/>
    <tableColumn id="39" xr3:uid="{7ADE24DE-920E-443B-932E-ACA6B109F63C}" name="Journal Country" dataDxfId="29"/>
    <tableColumn id="40" xr3:uid="{11753C3C-495E-4157-B9A0-CB456FCB6BAB}" name="Subject Area" dataDxfId="28"/>
    <tableColumn id="9" xr3:uid="{96085E4C-9AA8-4B0D-B2A3-2C380C17D4B2}" name="Journal Category" dataDxfId="27"/>
    <tableColumn id="12" xr3:uid="{4AFB57F8-69DF-435D-B2E3-3A69E1088585}" name="Language" dataDxfId="26"/>
    <tableColumn id="13" xr3:uid="{7770FBD3-BE1F-4347-A81D-179DAA939F23}" name="Data Base" dataDxfId="25"/>
    <tableColumn id="14" xr3:uid="{DF931EE3-74D6-4A7D-A601-792650E0B900}" name="Report Structure" dataDxfId="24"/>
    <tableColumn id="15" xr3:uid="{8156A6A0-98E8-4629-A02D-C004641EC701}" name="Research Approach" dataDxfId="23"/>
    <tableColumn id="16" xr3:uid="{F8021C7C-882D-4948-8C3F-3175333B9797}" name="Research Method" dataDxfId="22"/>
    <tableColumn id="29" xr3:uid="{419518F7-7F9C-4710-8119-E3DABA45212C}" name="Country" dataDxfId="21"/>
    <tableColumn id="17" xr3:uid="{FB2FBC8F-99F8-48AE-9C0B-588C007A42FF}" name="Education" dataDxfId="20"/>
    <tableColumn id="18" xr3:uid="{153BBD4D-E4C1-491B-B7FE-9B4AD9500624}" name="Educational Level" dataDxfId="19"/>
    <tableColumn id="30" xr3:uid="{304EBA36-DB26-45AE-A8D4-7F105C8D45E8}" name="Size Sample" dataDxfId="18"/>
    <tableColumn id="31" xr3:uid="{B3F872FE-DCB9-447D-A246-8BF9F7423DCD}" name="Type" dataDxfId="17"/>
    <tableColumn id="23" xr3:uid="{064E1616-9854-4284-A0A2-65CFC6B8EC23}" name="Duration" dataDxfId="16"/>
    <tableColumn id="44" xr3:uid="{68E9A790-7140-4B34-B7E2-2F33679F45A3}" name="Learning Theory" dataDxfId="15"/>
    <tableColumn id="45" xr3:uid="{FBF2232E-FBA9-4F3C-961C-4C7D5718528E}" name="Pedagogical Model" dataDxfId="14"/>
    <tableColumn id="35" xr3:uid="{66FCDC52-0407-42C8-AE31-9FBC5C62FC15}" name="Minecraft Edition" dataDxfId="13"/>
    <tableColumn id="38" xr3:uid="{1D56C57D-10A8-478E-A927-B9A9AC396958}" name="User Minecraft Experience" dataDxfId="12"/>
    <tableColumn id="43" xr3:uid="{CE745F56-A4A2-4700-81C2-DA3CAE632067}" name="Gamemode" dataDxfId="11"/>
    <tableColumn id="11" xr3:uid="{F2868E40-45AB-4782-B47E-944E243FADBA}" name="Area/Subject" dataDxfId="10"/>
    <tableColumn id="46" xr3:uid="{7856BFEB-7A64-48B2-A228-424CEE597079}" name="21st Century Competences" dataDxfId="9"/>
    <tableColumn id="47" xr3:uid="{E844DBAC-33A6-4E68-BD52-0588D4030B8B}" name="Mechanics" dataDxfId="8"/>
    <tableColumn id="52" xr3:uid="{091545A6-5B2B-4A83-9DF2-6A38C1789E2F}" name="Benefits" dataDxfId="7"/>
    <tableColumn id="53" xr3:uid="{11F77185-43EA-47C5-AE7A-783C588F9EEC}" name="Minecraft Limitations" dataDxfId="6"/>
    <tableColumn id="49" xr3:uid="{0CA119E1-8F47-4AD0-A1B2-91CF0F2FBF1B}" name="Objective" dataDxfId="5"/>
    <tableColumn id="50" xr3:uid="{C6EF4C70-5A4C-43AB-B0C4-8C2120CA0A72}" name="Main Results" dataDxfId="4"/>
    <tableColumn id="51" xr3:uid="{97F5A2F8-2709-4DB4-BE80-815014309A31}" name="Limitations" dataDxfId="3"/>
    <tableColumn id="25" xr3:uid="{5E2517FC-D658-4E99-8466-504A96529F16}" name="Notes" dataDxfId="2"/>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C991834-24F1-4FB5-8051-FEE26ADC6744}" name="Tabla3" displayName="Tabla3" ref="A1:B3" totalsRowShown="0" headerRowDxfId="38" dataDxfId="39">
  <autoFilter ref="A1:B3" xr:uid="{9C991834-24F1-4FB5-8051-FEE26ADC6744}"/>
  <tableColumns count="2">
    <tableColumn id="1" xr3:uid="{3226FA48-5C65-4AC0-B289-581C941DA488}" name="Data Base" dataDxfId="41"/>
    <tableColumn id="2" xr3:uid="{74AC8CDF-DAD6-443E-983F-3A67EC7AA266}" name="Syntax" dataDxfId="40"/>
  </tableColumns>
  <tableStyleInfo name="TableStyleMedium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13979ED-7614-4773-BF16-14AA754BB36D}" name="Tabla2" displayName="Tabla2" ref="A1:G1048576" totalsRowShown="0" headerRowDxfId="50" dataDxfId="49">
  <autoFilter ref="A1:G1048576" xr:uid="{713979ED-7614-4773-BF16-14AA754BB36D}">
    <filterColumn colId="4">
      <filters>
        <filter val="Arts; Social Sciences; Maths; Language"/>
        <filter val="Engineering; Social Sciences; Language"/>
        <filter val="Language; Social Science; Science; Math; Arts; Technology"/>
        <filter val="Maths; Language; Technology; Social Sciences"/>
        <filter val="Maths; Science; Social Sciences; Engineering"/>
        <filter val="Maths; Social Sciences"/>
        <filter val="Maths; Social Sciences; Science; Engineering"/>
        <filter val="Maths; Social Sciences; Special Education"/>
        <filter val="Science, Maths, Social Sciences, Language"/>
        <filter val="Science; Engineering; Social Sciences; Maths; Arts."/>
        <filter val="Social Science"/>
        <filter val="Social Science; Engineering; Language"/>
        <filter val="Social Science; Language; Technology"/>
        <filter val="Social Science; Maths"/>
        <filter val="Social Sciences"/>
        <filter val="Social Sciences; Engineering"/>
      </filters>
    </filterColumn>
    <filterColumn colId="5">
      <filters>
        <filter val="Build; Interact; Explore"/>
        <filter val="Code; Build; Interact"/>
        <filter val="Explore; Build; Interact"/>
        <filter val="Explore; Interact"/>
        <filter val="Interact; Explore; Farm; Create Narratives"/>
      </filters>
    </filterColumn>
  </autoFilter>
  <tableColumns count="7">
    <tableColumn id="1" xr3:uid="{4856CAEB-4E5C-46FD-9C78-9475C1A54C1A}" name="Author" dataDxfId="48"/>
    <tableColumn id="2" xr3:uid="{60388C05-9D7C-4AF0-97D0-FBFF29BE6E3A}" name="Title" dataDxfId="47"/>
    <tableColumn id="3" xr3:uid="{187DC795-89A7-4123-8796-DC94EB45B190}" name="Publication Year" dataDxfId="46"/>
    <tableColumn id="4" xr3:uid="{6B30D312-5F36-478A-82E1-2794AF47E775}" name="Mechanics" dataDxfId="45"/>
    <tableColumn id="5" xr3:uid="{7032D012-DC5A-4421-A447-9AF0D8D31D6D}" name="Area" dataDxfId="44"/>
    <tableColumn id="6" xr3:uid="{8316A97E-0BDA-4E88-93BA-A30F6543393C}" name="Mechanics2" dataDxfId="43"/>
    <tableColumn id="7" xr3:uid="{4CCE8F6B-8536-4E8E-BD98-7ABCD8AA3950}" name="Level" dataDxfId="42"/>
  </tableColumns>
  <tableStyleInfo name="TableStyleMedium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3D65F-BD81-4E92-9225-F5F4C181934F}">
  <dimension ref="A1:AJ103"/>
  <sheetViews>
    <sheetView tabSelected="1" zoomScale="85" zoomScaleNormal="85" workbookViewId="0">
      <selection activeCell="AI5" sqref="AI5"/>
    </sheetView>
  </sheetViews>
  <sheetFormatPr baseColWidth="10" defaultColWidth="57.140625" defaultRowHeight="16.5" customHeight="1" x14ac:dyDescent="0.25"/>
  <cols>
    <col min="1" max="1" width="9" style="3" bestFit="1" customWidth="1"/>
    <col min="2" max="2" width="57" style="3" customWidth="1"/>
    <col min="3" max="3" width="11.42578125" style="3" bestFit="1" customWidth="1"/>
    <col min="4" max="5" width="57.140625" style="3"/>
    <col min="6" max="6" width="21.140625" style="3" bestFit="1" customWidth="1"/>
    <col min="7" max="7" width="57.140625" style="3"/>
    <col min="8" max="8" width="19.28515625" style="3" bestFit="1" customWidth="1"/>
    <col min="9" max="9" width="21.140625" style="3" bestFit="1" customWidth="1"/>
    <col min="10" max="10" width="29.28515625" style="3" bestFit="1" customWidth="1"/>
    <col min="11" max="11" width="45.140625" style="3" bestFit="1" customWidth="1"/>
    <col min="12" max="12" width="13.85546875" style="3" bestFit="1" customWidth="1"/>
    <col min="13" max="13" width="14.28515625" style="3" bestFit="1" customWidth="1"/>
    <col min="14" max="14" width="23.85546875" style="3" bestFit="1" customWidth="1"/>
    <col min="15" max="15" width="24" style="3" bestFit="1" customWidth="1"/>
    <col min="16" max="16" width="26.140625" style="3" bestFit="1" customWidth="1"/>
    <col min="17" max="17" width="16.5703125" style="3" bestFit="1" customWidth="1"/>
    <col min="18" max="18" width="13.85546875" style="3" bestFit="1" customWidth="1"/>
    <col min="19" max="19" width="22.28515625" style="3" bestFit="1" customWidth="1"/>
    <col min="20" max="20" width="17" style="3" bestFit="1" customWidth="1"/>
    <col min="21" max="21" width="11.28515625" style="3" bestFit="1" customWidth="1"/>
    <col min="22" max="22" width="13.140625" style="3" bestFit="1" customWidth="1"/>
    <col min="23" max="23" width="21.28515625" style="3" bestFit="1" customWidth="1"/>
    <col min="24" max="24" width="57.140625" style="3"/>
    <col min="25" max="25" width="22" style="3" bestFit="1" customWidth="1"/>
    <col min="26" max="26" width="31.7109375" style="3" bestFit="1" customWidth="1"/>
    <col min="27" max="27" width="15.42578125" style="3" bestFit="1" customWidth="1"/>
    <col min="28" max="16384" width="57.140625" style="3"/>
  </cols>
  <sheetData>
    <row r="1" spans="1:36" s="7" customFormat="1" ht="16.5" customHeight="1" x14ac:dyDescent="0.25">
      <c r="A1" s="8" t="s">
        <v>0</v>
      </c>
      <c r="B1" s="8" t="s">
        <v>1</v>
      </c>
      <c r="C1" s="8" t="s">
        <v>18</v>
      </c>
      <c r="D1" s="8" t="s">
        <v>3</v>
      </c>
      <c r="E1" s="8" t="s">
        <v>41</v>
      </c>
      <c r="F1" s="8" t="s">
        <v>4</v>
      </c>
      <c r="G1" s="8" t="s">
        <v>5</v>
      </c>
      <c r="H1" s="8" t="s">
        <v>373</v>
      </c>
      <c r="I1" s="8" t="s">
        <v>370</v>
      </c>
      <c r="J1" s="8" t="s">
        <v>42</v>
      </c>
      <c r="K1" s="8" t="s">
        <v>6</v>
      </c>
      <c r="L1" s="8" t="s">
        <v>7</v>
      </c>
      <c r="M1" s="8" t="s">
        <v>8</v>
      </c>
      <c r="N1" s="7" t="s">
        <v>12</v>
      </c>
      <c r="O1" s="8" t="s">
        <v>9</v>
      </c>
      <c r="P1" s="8" t="s">
        <v>10</v>
      </c>
      <c r="Q1" s="7" t="s">
        <v>353</v>
      </c>
      <c r="R1" s="8" t="s">
        <v>11</v>
      </c>
      <c r="S1" s="8" t="s">
        <v>26</v>
      </c>
      <c r="T1" s="7" t="s">
        <v>38</v>
      </c>
      <c r="U1" s="7" t="s">
        <v>39</v>
      </c>
      <c r="V1" s="7" t="s">
        <v>40</v>
      </c>
      <c r="W1" s="7" t="s">
        <v>1076</v>
      </c>
      <c r="X1" s="7" t="s">
        <v>1075</v>
      </c>
      <c r="Y1" s="7" t="s">
        <v>1074</v>
      </c>
      <c r="Z1" s="7" t="s">
        <v>1073</v>
      </c>
      <c r="AA1" s="7" t="s">
        <v>1072</v>
      </c>
      <c r="AB1" s="8" t="s">
        <v>1071</v>
      </c>
      <c r="AC1" s="8" t="s">
        <v>1070</v>
      </c>
      <c r="AD1" s="7" t="s">
        <v>1404</v>
      </c>
      <c r="AE1" s="7" t="s">
        <v>1415</v>
      </c>
      <c r="AF1" s="7" t="s">
        <v>1426</v>
      </c>
      <c r="AG1" s="7" t="s">
        <v>448</v>
      </c>
      <c r="AH1" s="7" t="s">
        <v>540</v>
      </c>
      <c r="AI1" s="7" t="s">
        <v>451</v>
      </c>
      <c r="AJ1" s="8" t="s">
        <v>43</v>
      </c>
    </row>
    <row r="2" spans="1:36" ht="16.5" customHeight="1" x14ac:dyDescent="0.25">
      <c r="A2" s="3" t="s">
        <v>44</v>
      </c>
      <c r="B2" s="3" t="s">
        <v>136</v>
      </c>
      <c r="C2" s="3" t="s">
        <v>358</v>
      </c>
      <c r="D2" s="3" t="s">
        <v>147</v>
      </c>
      <c r="E2" s="3" t="s">
        <v>265</v>
      </c>
      <c r="F2" s="3">
        <v>2021</v>
      </c>
      <c r="G2" s="3" t="s">
        <v>213</v>
      </c>
      <c r="H2" s="3" t="s">
        <v>15</v>
      </c>
      <c r="I2" s="3" t="s">
        <v>371</v>
      </c>
      <c r="J2" s="3" t="s">
        <v>372</v>
      </c>
      <c r="K2" s="3" t="s">
        <v>11</v>
      </c>
      <c r="L2" s="3" t="s">
        <v>19</v>
      </c>
      <c r="M2" s="3" t="s">
        <v>21</v>
      </c>
      <c r="N2" s="3" t="s">
        <v>355</v>
      </c>
      <c r="O2" s="3" t="s">
        <v>17</v>
      </c>
      <c r="P2" s="3" t="s">
        <v>466</v>
      </c>
      <c r="Q2" s="3" t="s">
        <v>453</v>
      </c>
      <c r="R2" s="3" t="s">
        <v>17</v>
      </c>
      <c r="S2" s="3" t="s">
        <v>17</v>
      </c>
      <c r="T2" s="3" t="s">
        <v>17</v>
      </c>
      <c r="U2" s="3" t="s">
        <v>17</v>
      </c>
      <c r="V2" s="3" t="s">
        <v>17</v>
      </c>
      <c r="W2" s="3" t="s">
        <v>541</v>
      </c>
      <c r="X2" s="3" t="s">
        <v>1127</v>
      </c>
      <c r="Y2" s="3" t="s">
        <v>17</v>
      </c>
      <c r="Z2" s="3" t="s">
        <v>17</v>
      </c>
      <c r="AA2" s="3" t="s">
        <v>456</v>
      </c>
      <c r="AB2" s="3" t="s">
        <v>544</v>
      </c>
      <c r="AC2" s="3" t="s">
        <v>545</v>
      </c>
      <c r="AD2" s="3" t="s">
        <v>543</v>
      </c>
      <c r="AE2" s="3" t="s">
        <v>546</v>
      </c>
      <c r="AF2" s="3" t="s">
        <v>547</v>
      </c>
      <c r="AG2" s="3" t="s">
        <v>548</v>
      </c>
      <c r="AH2" s="3" t="s">
        <v>549</v>
      </c>
      <c r="AI2" s="3" t="s">
        <v>467</v>
      </c>
    </row>
    <row r="3" spans="1:36" ht="16.5" customHeight="1" x14ac:dyDescent="0.25">
      <c r="A3" s="3" t="s">
        <v>45</v>
      </c>
      <c r="B3" s="3" t="s">
        <v>275</v>
      </c>
      <c r="C3" s="3" t="s">
        <v>359</v>
      </c>
      <c r="D3" s="3" t="s">
        <v>148</v>
      </c>
      <c r="E3" s="3" t="s">
        <v>266</v>
      </c>
      <c r="F3" s="3">
        <v>2021</v>
      </c>
      <c r="G3" s="3" t="s">
        <v>222</v>
      </c>
      <c r="H3" s="3" t="s">
        <v>15</v>
      </c>
      <c r="I3" s="3" t="s">
        <v>374</v>
      </c>
      <c r="J3" s="3" t="s">
        <v>372</v>
      </c>
      <c r="K3" s="3" t="s">
        <v>11</v>
      </c>
      <c r="L3" s="3" t="s">
        <v>19</v>
      </c>
      <c r="M3" s="3" t="s">
        <v>22</v>
      </c>
      <c r="N3" s="3" t="s">
        <v>355</v>
      </c>
      <c r="O3" s="3" t="s">
        <v>17</v>
      </c>
      <c r="P3" s="3" t="s">
        <v>466</v>
      </c>
      <c r="Q3" s="3" t="s">
        <v>17</v>
      </c>
      <c r="R3" s="3" t="s">
        <v>17</v>
      </c>
      <c r="S3" s="3" t="s">
        <v>17</v>
      </c>
      <c r="T3" s="3" t="s">
        <v>17</v>
      </c>
      <c r="U3" s="3" t="s">
        <v>17</v>
      </c>
      <c r="V3" s="3" t="s">
        <v>17</v>
      </c>
      <c r="W3" s="3" t="s">
        <v>541</v>
      </c>
      <c r="X3" s="3" t="s">
        <v>550</v>
      </c>
      <c r="Y3" s="3" t="s">
        <v>461</v>
      </c>
      <c r="Z3" s="3" t="s">
        <v>17</v>
      </c>
      <c r="AA3" s="3" t="s">
        <v>456</v>
      </c>
      <c r="AB3" s="3" t="s">
        <v>552</v>
      </c>
      <c r="AC3" s="3" t="s">
        <v>553</v>
      </c>
      <c r="AD3" s="3" t="s">
        <v>551</v>
      </c>
      <c r="AE3" s="3" t="s">
        <v>554</v>
      </c>
      <c r="AF3" s="3" t="s">
        <v>555</v>
      </c>
      <c r="AG3" s="3" t="s">
        <v>556</v>
      </c>
      <c r="AH3" s="3" t="s">
        <v>557</v>
      </c>
      <c r="AI3" s="3" t="s">
        <v>558</v>
      </c>
    </row>
    <row r="4" spans="1:36" ht="16.5" customHeight="1" x14ac:dyDescent="0.25">
      <c r="A4" s="3" t="s">
        <v>46</v>
      </c>
      <c r="B4" s="3" t="s">
        <v>137</v>
      </c>
      <c r="C4" s="3" t="s">
        <v>358</v>
      </c>
      <c r="D4" s="3" t="s">
        <v>149</v>
      </c>
      <c r="E4" s="3" t="s">
        <v>268</v>
      </c>
      <c r="F4" s="3">
        <v>2022</v>
      </c>
      <c r="G4" s="3" t="s">
        <v>269</v>
      </c>
      <c r="H4" s="3" t="s">
        <v>17</v>
      </c>
      <c r="I4" s="3" t="s">
        <v>375</v>
      </c>
      <c r="J4" s="3" t="s">
        <v>17</v>
      </c>
      <c r="K4" s="3" t="s">
        <v>17</v>
      </c>
      <c r="L4" s="3" t="s">
        <v>19</v>
      </c>
      <c r="M4" s="3" t="s">
        <v>22</v>
      </c>
      <c r="N4" s="3" t="s">
        <v>449</v>
      </c>
      <c r="O4" s="3" t="s">
        <v>35</v>
      </c>
      <c r="P4" s="3" t="s">
        <v>36</v>
      </c>
      <c r="Q4" s="3" t="s">
        <v>400</v>
      </c>
      <c r="R4" s="3" t="s">
        <v>24</v>
      </c>
      <c r="S4" s="3" t="s">
        <v>27</v>
      </c>
      <c r="T4" s="3" t="s">
        <v>17</v>
      </c>
      <c r="U4" s="3" t="s">
        <v>602</v>
      </c>
      <c r="V4" s="3" t="s">
        <v>17</v>
      </c>
      <c r="W4" s="3" t="s">
        <v>1407</v>
      </c>
      <c r="X4" s="3" t="s">
        <v>550</v>
      </c>
      <c r="Y4" s="3" t="s">
        <v>452</v>
      </c>
      <c r="Z4" s="3" t="s">
        <v>602</v>
      </c>
      <c r="AA4" s="3" t="s">
        <v>456</v>
      </c>
      <c r="AB4" s="3" t="s">
        <v>560</v>
      </c>
      <c r="AC4" s="3" t="s">
        <v>561</v>
      </c>
      <c r="AD4" s="3" t="s">
        <v>1321</v>
      </c>
      <c r="AE4" s="3" t="s">
        <v>1323</v>
      </c>
      <c r="AF4" s="3" t="s">
        <v>1322</v>
      </c>
      <c r="AG4" s="3" t="s">
        <v>562</v>
      </c>
      <c r="AH4" s="3" t="s">
        <v>1324</v>
      </c>
      <c r="AI4" s="3" t="s">
        <v>563</v>
      </c>
    </row>
    <row r="5" spans="1:36" ht="16.5" customHeight="1" x14ac:dyDescent="0.25">
      <c r="A5" s="3" t="s">
        <v>47</v>
      </c>
      <c r="B5" s="3" t="s">
        <v>410</v>
      </c>
      <c r="C5" s="3" t="s">
        <v>359</v>
      </c>
      <c r="D5" s="3" t="s">
        <v>411</v>
      </c>
      <c r="E5" s="3" t="s">
        <v>413</v>
      </c>
      <c r="F5" s="3">
        <v>2020</v>
      </c>
      <c r="G5" s="3" t="s">
        <v>412</v>
      </c>
      <c r="H5" s="3" t="s">
        <v>13</v>
      </c>
      <c r="I5" s="3" t="s">
        <v>385</v>
      </c>
      <c r="J5" s="3" t="s">
        <v>372</v>
      </c>
      <c r="K5" s="3" t="s">
        <v>419</v>
      </c>
      <c r="L5" s="3" t="s">
        <v>19</v>
      </c>
      <c r="M5" s="3" t="s">
        <v>409</v>
      </c>
      <c r="N5" s="3" t="s">
        <v>449</v>
      </c>
      <c r="O5" s="3" t="s">
        <v>33</v>
      </c>
      <c r="P5" s="3" t="s">
        <v>36</v>
      </c>
      <c r="Q5" s="3" t="s">
        <v>980</v>
      </c>
      <c r="R5" s="3" t="s">
        <v>24</v>
      </c>
      <c r="S5" s="3" t="s">
        <v>31</v>
      </c>
      <c r="T5" s="3">
        <v>44</v>
      </c>
      <c r="U5" s="3" t="s">
        <v>360</v>
      </c>
      <c r="V5" s="3">
        <v>1</v>
      </c>
      <c r="W5" s="3" t="s">
        <v>541</v>
      </c>
      <c r="X5" s="3" t="s">
        <v>564</v>
      </c>
      <c r="Y5" s="3" t="s">
        <v>459</v>
      </c>
      <c r="Z5" s="3" t="s">
        <v>602</v>
      </c>
      <c r="AA5" s="3" t="s">
        <v>456</v>
      </c>
      <c r="AB5" s="3" t="s">
        <v>542</v>
      </c>
      <c r="AC5" s="3" t="s">
        <v>1049</v>
      </c>
      <c r="AD5" s="3" t="s">
        <v>1048</v>
      </c>
      <c r="AE5" s="3" t="s">
        <v>1050</v>
      </c>
      <c r="AF5" s="3" t="s">
        <v>17</v>
      </c>
      <c r="AG5" s="3" t="s">
        <v>1047</v>
      </c>
      <c r="AH5" s="3" t="s">
        <v>1051</v>
      </c>
      <c r="AI5" s="3" t="s">
        <v>1052</v>
      </c>
    </row>
    <row r="6" spans="1:36" ht="16.5" customHeight="1" x14ac:dyDescent="0.25">
      <c r="A6" s="3" t="s">
        <v>48</v>
      </c>
      <c r="B6" s="3" t="s">
        <v>139</v>
      </c>
      <c r="C6" s="3" t="s">
        <v>359</v>
      </c>
      <c r="D6" s="3" t="s">
        <v>151</v>
      </c>
      <c r="E6" s="5" t="s">
        <v>271</v>
      </c>
      <c r="F6" s="3">
        <v>2020</v>
      </c>
      <c r="G6" s="3" t="s">
        <v>214</v>
      </c>
      <c r="H6" s="3" t="s">
        <v>14</v>
      </c>
      <c r="I6" s="3" t="s">
        <v>374</v>
      </c>
      <c r="J6" s="3" t="s">
        <v>372</v>
      </c>
      <c r="K6" s="3" t="s">
        <v>11</v>
      </c>
      <c r="L6" s="3" t="s">
        <v>19</v>
      </c>
      <c r="M6" s="3" t="s">
        <v>21</v>
      </c>
      <c r="N6" s="3" t="s">
        <v>355</v>
      </c>
      <c r="O6" s="3" t="s">
        <v>17</v>
      </c>
      <c r="P6" s="3" t="s">
        <v>466</v>
      </c>
      <c r="Q6" s="3" t="s">
        <v>17</v>
      </c>
      <c r="R6" s="3" t="s">
        <v>24</v>
      </c>
      <c r="S6" s="3" t="s">
        <v>31</v>
      </c>
      <c r="T6" s="3" t="s">
        <v>17</v>
      </c>
      <c r="U6" s="3" t="s">
        <v>602</v>
      </c>
      <c r="V6" s="3" t="s">
        <v>17</v>
      </c>
      <c r="W6" s="3" t="s">
        <v>541</v>
      </c>
      <c r="X6" s="3" t="s">
        <v>564</v>
      </c>
      <c r="Y6" s="3" t="s">
        <v>461</v>
      </c>
      <c r="Z6" s="3" t="s">
        <v>17</v>
      </c>
      <c r="AA6" s="3" t="s">
        <v>31</v>
      </c>
      <c r="AB6" s="3" t="s">
        <v>566</v>
      </c>
      <c r="AC6" s="3" t="s">
        <v>567</v>
      </c>
      <c r="AD6" s="3" t="s">
        <v>565</v>
      </c>
      <c r="AE6" s="3" t="s">
        <v>568</v>
      </c>
      <c r="AF6" s="3" t="s">
        <v>569</v>
      </c>
      <c r="AG6" s="3" t="s">
        <v>1046</v>
      </c>
      <c r="AH6" s="3" t="s">
        <v>570</v>
      </c>
      <c r="AI6" s="3" t="s">
        <v>571</v>
      </c>
    </row>
    <row r="7" spans="1:36" ht="16.5" customHeight="1" x14ac:dyDescent="0.25">
      <c r="A7" s="3" t="s">
        <v>49</v>
      </c>
      <c r="B7" s="3" t="s">
        <v>138</v>
      </c>
      <c r="C7" s="3" t="s">
        <v>359</v>
      </c>
      <c r="D7" s="3" t="s">
        <v>150</v>
      </c>
      <c r="E7" s="5" t="s">
        <v>270</v>
      </c>
      <c r="F7" s="3">
        <v>2020</v>
      </c>
      <c r="G7" s="3" t="s">
        <v>267</v>
      </c>
      <c r="H7" s="3" t="s">
        <v>13</v>
      </c>
      <c r="I7" s="3" t="s">
        <v>374</v>
      </c>
      <c r="J7" s="3" t="s">
        <v>372</v>
      </c>
      <c r="K7" s="3" t="s">
        <v>11</v>
      </c>
      <c r="L7" s="3" t="s">
        <v>19</v>
      </c>
      <c r="M7" s="3" t="s">
        <v>22</v>
      </c>
      <c r="N7" s="3" t="s">
        <v>449</v>
      </c>
      <c r="O7" s="3" t="s">
        <v>35</v>
      </c>
      <c r="P7" s="3" t="s">
        <v>365</v>
      </c>
      <c r="Q7" s="3" t="s">
        <v>450</v>
      </c>
      <c r="R7" s="3" t="s">
        <v>24</v>
      </c>
      <c r="S7" s="3" t="s">
        <v>27</v>
      </c>
      <c r="T7" s="3">
        <v>164</v>
      </c>
      <c r="U7" s="3" t="s">
        <v>602</v>
      </c>
      <c r="V7" s="3">
        <v>3</v>
      </c>
      <c r="W7" s="3" t="s">
        <v>541</v>
      </c>
      <c r="X7" s="3" t="s">
        <v>572</v>
      </c>
      <c r="Y7" s="3" t="s">
        <v>17</v>
      </c>
      <c r="Z7" s="3" t="s">
        <v>602</v>
      </c>
      <c r="AA7" s="3" t="s">
        <v>17</v>
      </c>
      <c r="AB7" s="3" t="s">
        <v>542</v>
      </c>
      <c r="AC7" s="3" t="s">
        <v>574</v>
      </c>
      <c r="AD7" s="3" t="s">
        <v>573</v>
      </c>
      <c r="AE7" s="3" t="s">
        <v>575</v>
      </c>
      <c r="AF7" s="3" t="s">
        <v>17</v>
      </c>
      <c r="AG7" s="3" t="s">
        <v>1128</v>
      </c>
      <c r="AH7" s="3" t="s">
        <v>577</v>
      </c>
      <c r="AI7" s="3" t="s">
        <v>576</v>
      </c>
    </row>
    <row r="8" spans="1:36" ht="16.5" customHeight="1" x14ac:dyDescent="0.25">
      <c r="A8" s="3" t="s">
        <v>50</v>
      </c>
      <c r="B8" s="3" t="s">
        <v>140</v>
      </c>
      <c r="C8" s="3" t="s">
        <v>359</v>
      </c>
      <c r="D8" s="3" t="s">
        <v>153</v>
      </c>
      <c r="E8" s="3" t="s">
        <v>17</v>
      </c>
      <c r="F8" s="3">
        <v>2016</v>
      </c>
      <c r="G8" s="4" t="s">
        <v>216</v>
      </c>
      <c r="H8" s="3" t="s">
        <v>14</v>
      </c>
      <c r="I8" s="3" t="s">
        <v>375</v>
      </c>
      <c r="J8" s="3" t="s">
        <v>372</v>
      </c>
      <c r="K8" s="3" t="s">
        <v>11</v>
      </c>
      <c r="L8" s="3" t="s">
        <v>19</v>
      </c>
      <c r="M8" s="3" t="s">
        <v>21</v>
      </c>
      <c r="N8" s="3" t="s">
        <v>449</v>
      </c>
      <c r="O8" s="3" t="s">
        <v>33</v>
      </c>
      <c r="P8" s="3" t="s">
        <v>366</v>
      </c>
      <c r="Q8" s="3" t="s">
        <v>375</v>
      </c>
      <c r="R8" s="3" t="s">
        <v>602</v>
      </c>
      <c r="S8" s="3" t="s">
        <v>27</v>
      </c>
      <c r="T8" s="3">
        <v>11</v>
      </c>
      <c r="U8" s="3" t="s">
        <v>360</v>
      </c>
      <c r="V8" s="3">
        <v>3</v>
      </c>
      <c r="W8" s="3" t="s">
        <v>17</v>
      </c>
      <c r="X8" s="3" t="s">
        <v>17</v>
      </c>
      <c r="Y8" s="3" t="s">
        <v>452</v>
      </c>
      <c r="Z8" s="3" t="s">
        <v>602</v>
      </c>
      <c r="AA8" s="3" t="s">
        <v>17</v>
      </c>
      <c r="AB8" s="3" t="s">
        <v>17</v>
      </c>
      <c r="AC8" s="3" t="s">
        <v>17</v>
      </c>
      <c r="AD8" s="3" t="s">
        <v>578</v>
      </c>
      <c r="AE8" s="3" t="s">
        <v>579</v>
      </c>
      <c r="AF8" s="3" t="s">
        <v>17</v>
      </c>
      <c r="AG8" s="3" t="s">
        <v>582</v>
      </c>
      <c r="AH8" s="3" t="s">
        <v>583</v>
      </c>
      <c r="AI8" s="3" t="s">
        <v>584</v>
      </c>
    </row>
    <row r="9" spans="1:36" ht="16.5" customHeight="1" x14ac:dyDescent="0.25">
      <c r="A9" s="3" t="s">
        <v>51</v>
      </c>
      <c r="B9" s="3" t="s">
        <v>140</v>
      </c>
      <c r="C9" s="3" t="s">
        <v>359</v>
      </c>
      <c r="D9" s="3" t="s">
        <v>152</v>
      </c>
      <c r="E9" s="3" t="s">
        <v>272</v>
      </c>
      <c r="F9" s="3">
        <v>2022</v>
      </c>
      <c r="G9" s="3" t="s">
        <v>215</v>
      </c>
      <c r="H9" s="3" t="s">
        <v>13</v>
      </c>
      <c r="I9" s="3" t="s">
        <v>375</v>
      </c>
      <c r="J9" s="3" t="s">
        <v>376</v>
      </c>
      <c r="K9" s="3" t="s">
        <v>377</v>
      </c>
      <c r="L9" s="3" t="s">
        <v>19</v>
      </c>
      <c r="M9" s="3" t="s">
        <v>21</v>
      </c>
      <c r="N9" s="3" t="s">
        <v>449</v>
      </c>
      <c r="O9" s="3" t="s">
        <v>33</v>
      </c>
      <c r="P9" s="3" t="s">
        <v>366</v>
      </c>
      <c r="Q9" s="3" t="s">
        <v>375</v>
      </c>
      <c r="R9" s="3" t="s">
        <v>602</v>
      </c>
      <c r="S9" s="3" t="s">
        <v>27</v>
      </c>
      <c r="T9" s="3">
        <v>11</v>
      </c>
      <c r="U9" s="3" t="s">
        <v>360</v>
      </c>
      <c r="V9" s="3">
        <v>3</v>
      </c>
      <c r="W9" s="3" t="s">
        <v>17</v>
      </c>
      <c r="X9" s="3" t="s">
        <v>17</v>
      </c>
      <c r="Y9" s="3" t="s">
        <v>452</v>
      </c>
      <c r="Z9" s="3" t="s">
        <v>602</v>
      </c>
      <c r="AA9" s="3" t="s">
        <v>17</v>
      </c>
      <c r="AB9" s="3" t="s">
        <v>17</v>
      </c>
      <c r="AC9" s="3" t="s">
        <v>17</v>
      </c>
      <c r="AD9" s="3" t="s">
        <v>578</v>
      </c>
      <c r="AE9" s="3" t="s">
        <v>507</v>
      </c>
      <c r="AF9" s="3" t="s">
        <v>17</v>
      </c>
      <c r="AG9" s="3" t="s">
        <v>506</v>
      </c>
      <c r="AH9" s="3" t="s">
        <v>580</v>
      </c>
      <c r="AI9" s="3" t="s">
        <v>581</v>
      </c>
    </row>
    <row r="10" spans="1:36" ht="16.5" customHeight="1" x14ac:dyDescent="0.25">
      <c r="A10" s="3" t="s">
        <v>52</v>
      </c>
      <c r="B10" s="3" t="s">
        <v>274</v>
      </c>
      <c r="C10" s="3" t="s">
        <v>359</v>
      </c>
      <c r="D10" s="3" t="s">
        <v>154</v>
      </c>
      <c r="E10" s="3" t="s">
        <v>273</v>
      </c>
      <c r="F10" s="3">
        <v>2020</v>
      </c>
      <c r="G10" s="3" t="s">
        <v>217</v>
      </c>
      <c r="H10" s="3" t="s">
        <v>15</v>
      </c>
      <c r="I10" s="3" t="s">
        <v>374</v>
      </c>
      <c r="J10" s="3" t="s">
        <v>378</v>
      </c>
      <c r="K10" s="3" t="s">
        <v>379</v>
      </c>
      <c r="L10" s="3" t="s">
        <v>19</v>
      </c>
      <c r="M10" s="3" t="s">
        <v>23</v>
      </c>
      <c r="N10" s="3" t="s">
        <v>356</v>
      </c>
      <c r="O10" s="3" t="s">
        <v>17</v>
      </c>
      <c r="P10" s="3" t="s">
        <v>17</v>
      </c>
      <c r="Q10" s="3" t="s">
        <v>453</v>
      </c>
      <c r="R10" s="3" t="s">
        <v>25</v>
      </c>
      <c r="S10" s="3" t="s">
        <v>31</v>
      </c>
      <c r="T10" s="3">
        <v>113</v>
      </c>
      <c r="U10" s="3" t="s">
        <v>360</v>
      </c>
      <c r="V10" s="3" t="s">
        <v>17</v>
      </c>
      <c r="W10" s="3" t="s">
        <v>541</v>
      </c>
      <c r="X10" s="3" t="s">
        <v>564</v>
      </c>
      <c r="Y10" s="3" t="s">
        <v>459</v>
      </c>
      <c r="Z10" s="3" t="s">
        <v>602</v>
      </c>
      <c r="AA10" s="3" t="s">
        <v>456</v>
      </c>
      <c r="AB10" s="3" t="s">
        <v>508</v>
      </c>
      <c r="AC10" s="3" t="s">
        <v>586</v>
      </c>
      <c r="AD10" s="3" t="s">
        <v>585</v>
      </c>
      <c r="AE10" s="3" t="s">
        <v>587</v>
      </c>
      <c r="AF10" s="3" t="s">
        <v>588</v>
      </c>
      <c r="AG10" s="3" t="s">
        <v>589</v>
      </c>
      <c r="AH10" s="3" t="s">
        <v>590</v>
      </c>
      <c r="AI10" s="3" t="s">
        <v>591</v>
      </c>
    </row>
    <row r="11" spans="1:36" ht="16.5" customHeight="1" x14ac:dyDescent="0.25">
      <c r="A11" s="3" t="s">
        <v>53</v>
      </c>
      <c r="B11" s="3" t="s">
        <v>433</v>
      </c>
      <c r="C11" s="3" t="s">
        <v>358</v>
      </c>
      <c r="D11" s="3" t="s">
        <v>432</v>
      </c>
      <c r="E11" s="3" t="s">
        <v>1035</v>
      </c>
      <c r="F11" s="3">
        <v>2015</v>
      </c>
      <c r="G11" s="3" t="s">
        <v>434</v>
      </c>
      <c r="H11" s="3" t="s">
        <v>15</v>
      </c>
      <c r="I11" s="3" t="s">
        <v>375</v>
      </c>
      <c r="J11" s="3" t="s">
        <v>372</v>
      </c>
      <c r="K11" s="3" t="s">
        <v>11</v>
      </c>
      <c r="L11" s="3" t="s">
        <v>19</v>
      </c>
      <c r="M11" s="3" t="s">
        <v>409</v>
      </c>
      <c r="N11" s="3" t="s">
        <v>449</v>
      </c>
      <c r="O11" s="3" t="s">
        <v>33</v>
      </c>
      <c r="P11" s="3" t="s">
        <v>36</v>
      </c>
      <c r="Q11" s="3" t="s">
        <v>17</v>
      </c>
      <c r="R11" s="3" t="s">
        <v>25</v>
      </c>
      <c r="S11" s="3" t="s">
        <v>31</v>
      </c>
      <c r="T11" s="3">
        <v>510</v>
      </c>
      <c r="U11" s="3" t="s">
        <v>360</v>
      </c>
      <c r="V11" s="3" t="s">
        <v>17</v>
      </c>
      <c r="W11" s="3" t="s">
        <v>17</v>
      </c>
      <c r="X11" s="3" t="s">
        <v>17</v>
      </c>
      <c r="Y11" s="3" t="s">
        <v>17</v>
      </c>
      <c r="Z11" s="3" t="s">
        <v>17</v>
      </c>
      <c r="AA11" s="3" t="s">
        <v>17</v>
      </c>
      <c r="AB11" s="3" t="s">
        <v>17</v>
      </c>
      <c r="AC11" s="3" t="s">
        <v>1053</v>
      </c>
      <c r="AD11" s="3" t="s">
        <v>17</v>
      </c>
      <c r="AE11" s="3" t="s">
        <v>1054</v>
      </c>
      <c r="AF11" s="3" t="s">
        <v>17</v>
      </c>
      <c r="AG11" s="3" t="s">
        <v>1055</v>
      </c>
      <c r="AH11" s="3" t="s">
        <v>1056</v>
      </c>
      <c r="AI11" s="3" t="s">
        <v>1057</v>
      </c>
    </row>
    <row r="12" spans="1:36" ht="16.5" customHeight="1" x14ac:dyDescent="0.25">
      <c r="A12" s="3" t="s">
        <v>54</v>
      </c>
      <c r="B12" s="3" t="s">
        <v>276</v>
      </c>
      <c r="C12" s="3" t="s">
        <v>359</v>
      </c>
      <c r="D12" s="3" t="s">
        <v>155</v>
      </c>
      <c r="E12" s="3" t="s">
        <v>17</v>
      </c>
      <c r="F12" s="3">
        <v>2019</v>
      </c>
      <c r="G12" s="3" t="s">
        <v>218</v>
      </c>
      <c r="H12" s="3" t="s">
        <v>14</v>
      </c>
      <c r="I12" s="3" t="s">
        <v>374</v>
      </c>
      <c r="J12" s="3" t="s">
        <v>378</v>
      </c>
      <c r="K12" s="3" t="s">
        <v>380</v>
      </c>
      <c r="L12" s="3" t="s">
        <v>19</v>
      </c>
      <c r="M12" s="3" t="s">
        <v>23</v>
      </c>
      <c r="N12" s="3" t="s">
        <v>449</v>
      </c>
      <c r="O12" s="3" t="s">
        <v>35</v>
      </c>
      <c r="P12" s="3" t="s">
        <v>363</v>
      </c>
      <c r="Q12" s="3" t="s">
        <v>374</v>
      </c>
      <c r="R12" s="3" t="s">
        <v>24</v>
      </c>
      <c r="S12" s="3" t="s">
        <v>29</v>
      </c>
      <c r="T12" s="3">
        <v>352</v>
      </c>
      <c r="U12" s="3" t="s">
        <v>602</v>
      </c>
      <c r="V12" s="3">
        <v>0</v>
      </c>
      <c r="W12" s="3" t="s">
        <v>541</v>
      </c>
      <c r="X12" s="3" t="s">
        <v>564</v>
      </c>
      <c r="Y12" s="3" t="s">
        <v>17</v>
      </c>
      <c r="Z12" s="3" t="s">
        <v>602</v>
      </c>
      <c r="AA12" s="3" t="s">
        <v>462</v>
      </c>
      <c r="AB12" s="3" t="s">
        <v>17</v>
      </c>
      <c r="AC12" s="3" t="s">
        <v>535</v>
      </c>
      <c r="AD12" s="3" t="s">
        <v>592</v>
      </c>
      <c r="AE12" s="3" t="s">
        <v>593</v>
      </c>
      <c r="AF12" s="3" t="s">
        <v>17</v>
      </c>
      <c r="AG12" s="3" t="s">
        <v>594</v>
      </c>
      <c r="AH12" s="3" t="s">
        <v>595</v>
      </c>
      <c r="AI12" s="3" t="s">
        <v>596</v>
      </c>
    </row>
    <row r="13" spans="1:36" ht="16.5" customHeight="1" x14ac:dyDescent="0.25">
      <c r="A13" s="3" t="s">
        <v>55</v>
      </c>
      <c r="B13" s="3" t="s">
        <v>523</v>
      </c>
      <c r="C13" s="3" t="s">
        <v>358</v>
      </c>
      <c r="D13" s="3" t="s">
        <v>524</v>
      </c>
      <c r="E13" s="3" t="s">
        <v>17</v>
      </c>
      <c r="F13" s="3">
        <v>2014</v>
      </c>
      <c r="G13" s="3" t="s">
        <v>525</v>
      </c>
      <c r="H13" s="3" t="s">
        <v>17</v>
      </c>
      <c r="I13" s="3" t="s">
        <v>17</v>
      </c>
      <c r="J13" s="3" t="s">
        <v>17</v>
      </c>
      <c r="K13" s="3" t="s">
        <v>17</v>
      </c>
      <c r="L13" s="3" t="s">
        <v>19</v>
      </c>
      <c r="M13" s="3" t="s">
        <v>409</v>
      </c>
      <c r="N13" s="3" t="s">
        <v>414</v>
      </c>
      <c r="O13" s="3" t="s">
        <v>17</v>
      </c>
      <c r="P13" s="3" t="s">
        <v>17</v>
      </c>
      <c r="Q13" s="3" t="s">
        <v>17</v>
      </c>
      <c r="R13" s="3" t="s">
        <v>24</v>
      </c>
      <c r="S13" s="3" t="s">
        <v>27</v>
      </c>
      <c r="T13" s="3" t="s">
        <v>17</v>
      </c>
      <c r="U13" s="3" t="s">
        <v>360</v>
      </c>
      <c r="V13" s="3">
        <v>1</v>
      </c>
      <c r="W13" s="3" t="s">
        <v>952</v>
      </c>
      <c r="X13" s="3" t="s">
        <v>953</v>
      </c>
      <c r="Y13" s="3" t="s">
        <v>17</v>
      </c>
      <c r="Z13" s="3" t="s">
        <v>17</v>
      </c>
      <c r="AA13" s="3" t="s">
        <v>456</v>
      </c>
      <c r="AB13" s="3" t="s">
        <v>515</v>
      </c>
      <c r="AC13" s="3" t="s">
        <v>1062</v>
      </c>
      <c r="AD13" s="3" t="s">
        <v>1061</v>
      </c>
      <c r="AE13" s="3" t="s">
        <v>1063</v>
      </c>
      <c r="AF13" s="3" t="s">
        <v>1129</v>
      </c>
      <c r="AG13" s="3" t="s">
        <v>1058</v>
      </c>
      <c r="AH13" s="3" t="s">
        <v>1059</v>
      </c>
      <c r="AI13" s="3" t="s">
        <v>1060</v>
      </c>
    </row>
    <row r="14" spans="1:36" ht="16.5" customHeight="1" x14ac:dyDescent="0.25">
      <c r="A14" s="3" t="s">
        <v>56</v>
      </c>
      <c r="B14" s="3" t="s">
        <v>141</v>
      </c>
      <c r="C14" s="3" t="s">
        <v>358</v>
      </c>
      <c r="D14" s="3" t="s">
        <v>157</v>
      </c>
      <c r="E14" s="3" t="s">
        <v>279</v>
      </c>
      <c r="F14" s="3">
        <v>2024</v>
      </c>
      <c r="G14" s="3" t="s">
        <v>221</v>
      </c>
      <c r="H14" s="3" t="s">
        <v>14</v>
      </c>
      <c r="I14" s="3" t="s">
        <v>375</v>
      </c>
      <c r="J14" s="3" t="s">
        <v>372</v>
      </c>
      <c r="K14" s="3" t="s">
        <v>11</v>
      </c>
      <c r="L14" s="3" t="s">
        <v>19</v>
      </c>
      <c r="M14" s="3" t="s">
        <v>21</v>
      </c>
      <c r="N14" s="3" t="s">
        <v>449</v>
      </c>
      <c r="O14" s="3" t="s">
        <v>33</v>
      </c>
      <c r="P14" s="3" t="s">
        <v>36</v>
      </c>
      <c r="Q14" s="3" t="s">
        <v>424</v>
      </c>
      <c r="R14" s="3" t="s">
        <v>454</v>
      </c>
      <c r="S14" s="3" t="s">
        <v>27</v>
      </c>
      <c r="T14" s="3">
        <v>2</v>
      </c>
      <c r="U14" s="3" t="s">
        <v>602</v>
      </c>
      <c r="V14" s="3">
        <v>2</v>
      </c>
      <c r="W14" s="3" t="s">
        <v>1407</v>
      </c>
      <c r="X14" s="3" t="s">
        <v>603</v>
      </c>
      <c r="Y14" s="3" t="s">
        <v>461</v>
      </c>
      <c r="Z14" s="3" t="s">
        <v>368</v>
      </c>
      <c r="AA14" s="3" t="s">
        <v>456</v>
      </c>
      <c r="AB14" s="3" t="s">
        <v>17</v>
      </c>
      <c r="AC14" s="3" t="s">
        <v>605</v>
      </c>
      <c r="AD14" s="3" t="s">
        <v>604</v>
      </c>
      <c r="AE14" s="3" t="s">
        <v>606</v>
      </c>
      <c r="AF14" s="3" t="s">
        <v>17</v>
      </c>
      <c r="AG14" s="3" t="s">
        <v>607</v>
      </c>
      <c r="AH14" s="3" t="s">
        <v>608</v>
      </c>
      <c r="AI14" s="3" t="s">
        <v>609</v>
      </c>
    </row>
    <row r="15" spans="1:36" ht="16.5" customHeight="1" x14ac:dyDescent="0.25">
      <c r="A15" s="3" t="s">
        <v>57</v>
      </c>
      <c r="B15" s="3" t="s">
        <v>438</v>
      </c>
      <c r="C15" s="3" t="s">
        <v>358</v>
      </c>
      <c r="D15" s="3" t="s">
        <v>439</v>
      </c>
      <c r="E15" s="3" t="s">
        <v>441</v>
      </c>
      <c r="F15" s="3">
        <v>2015</v>
      </c>
      <c r="G15" s="3" t="s">
        <v>440</v>
      </c>
      <c r="H15" s="3" t="s">
        <v>14</v>
      </c>
      <c r="I15" s="3" t="s">
        <v>375</v>
      </c>
      <c r="J15" s="3" t="s">
        <v>372</v>
      </c>
      <c r="K15" s="3" t="s">
        <v>442</v>
      </c>
      <c r="L15" s="3" t="s">
        <v>19</v>
      </c>
      <c r="M15" s="3" t="s">
        <v>409</v>
      </c>
      <c r="N15" s="3" t="s">
        <v>414</v>
      </c>
      <c r="O15" s="3" t="s">
        <v>17</v>
      </c>
      <c r="P15" s="3" t="s">
        <v>17</v>
      </c>
      <c r="Q15" s="3" t="s">
        <v>424</v>
      </c>
      <c r="R15" s="3" t="s">
        <v>25</v>
      </c>
      <c r="S15" s="3" t="s">
        <v>31</v>
      </c>
      <c r="T15" s="3">
        <v>40</v>
      </c>
      <c r="U15" s="3" t="s">
        <v>360</v>
      </c>
      <c r="V15" s="3">
        <v>0</v>
      </c>
      <c r="W15" s="3" t="s">
        <v>541</v>
      </c>
      <c r="X15" s="3" t="s">
        <v>550</v>
      </c>
      <c r="Y15" s="3" t="s">
        <v>17</v>
      </c>
      <c r="Z15" s="3" t="s">
        <v>602</v>
      </c>
      <c r="AA15" s="3" t="s">
        <v>456</v>
      </c>
      <c r="AB15" s="3" t="s">
        <v>17</v>
      </c>
      <c r="AC15" s="3" t="s">
        <v>1065</v>
      </c>
      <c r="AD15" s="3" t="s">
        <v>1064</v>
      </c>
      <c r="AE15" s="3" t="s">
        <v>1066</v>
      </c>
      <c r="AF15" s="3" t="s">
        <v>1067</v>
      </c>
      <c r="AG15" s="3" t="s">
        <v>1068</v>
      </c>
      <c r="AH15" s="3" t="s">
        <v>1069</v>
      </c>
      <c r="AI15" s="3" t="s">
        <v>17</v>
      </c>
    </row>
    <row r="16" spans="1:36" ht="16.5" customHeight="1" x14ac:dyDescent="0.25">
      <c r="A16" s="3" t="s">
        <v>58</v>
      </c>
      <c r="B16" s="3" t="s">
        <v>436</v>
      </c>
      <c r="C16" s="3" t="s">
        <v>358</v>
      </c>
      <c r="D16" s="3" t="s">
        <v>435</v>
      </c>
      <c r="E16" s="3" t="s">
        <v>437</v>
      </c>
      <c r="F16" s="3">
        <v>2014</v>
      </c>
      <c r="G16" s="3" t="s">
        <v>222</v>
      </c>
      <c r="H16" s="3" t="s">
        <v>15</v>
      </c>
      <c r="I16" s="3" t="s">
        <v>374</v>
      </c>
      <c r="J16" s="3" t="s">
        <v>372</v>
      </c>
      <c r="K16" s="3" t="s">
        <v>11</v>
      </c>
      <c r="L16" s="3" t="s">
        <v>19</v>
      </c>
      <c r="M16" s="3" t="s">
        <v>409</v>
      </c>
      <c r="N16" s="3" t="s">
        <v>449</v>
      </c>
      <c r="O16" s="3" t="s">
        <v>33</v>
      </c>
      <c r="P16" s="3" t="s">
        <v>36</v>
      </c>
      <c r="Q16" s="3" t="s">
        <v>374</v>
      </c>
      <c r="R16" s="3" t="s">
        <v>24</v>
      </c>
      <c r="S16" s="3" t="s">
        <v>30</v>
      </c>
      <c r="T16" s="3">
        <v>20</v>
      </c>
      <c r="U16" s="3" t="s">
        <v>360</v>
      </c>
      <c r="V16" s="3">
        <v>3</v>
      </c>
      <c r="W16" s="3" t="s">
        <v>541</v>
      </c>
      <c r="X16" s="3" t="s">
        <v>564</v>
      </c>
      <c r="Y16" s="3" t="s">
        <v>459</v>
      </c>
      <c r="Z16" s="3" t="s">
        <v>2</v>
      </c>
      <c r="AA16" s="3" t="s">
        <v>456</v>
      </c>
      <c r="AB16" s="3" t="s">
        <v>1078</v>
      </c>
      <c r="AC16" s="3" t="s">
        <v>877</v>
      </c>
      <c r="AD16" s="3" t="s">
        <v>1077</v>
      </c>
      <c r="AE16" s="3" t="s">
        <v>1079</v>
      </c>
      <c r="AF16" s="3" t="s">
        <v>1080</v>
      </c>
      <c r="AG16" s="3" t="s">
        <v>1081</v>
      </c>
      <c r="AH16" s="3" t="s">
        <v>1082</v>
      </c>
      <c r="AI16" s="3" t="s">
        <v>17</v>
      </c>
    </row>
    <row r="17" spans="1:36" ht="16.5" customHeight="1" x14ac:dyDescent="0.25">
      <c r="A17" s="3" t="s">
        <v>59</v>
      </c>
      <c r="B17" s="3" t="s">
        <v>429</v>
      </c>
      <c r="C17" s="3" t="s">
        <v>358</v>
      </c>
      <c r="D17" s="3" t="s">
        <v>430</v>
      </c>
      <c r="E17" s="3" t="s">
        <v>17</v>
      </c>
      <c r="F17" s="3">
        <v>2016</v>
      </c>
      <c r="G17" s="3" t="s">
        <v>431</v>
      </c>
      <c r="H17" s="3" t="s">
        <v>13</v>
      </c>
      <c r="I17" s="3" t="s">
        <v>374</v>
      </c>
      <c r="J17" s="3" t="s">
        <v>446</v>
      </c>
      <c r="K17" s="3" t="s">
        <v>447</v>
      </c>
      <c r="L17" s="3" t="s">
        <v>19</v>
      </c>
      <c r="M17" s="3" t="s">
        <v>409</v>
      </c>
      <c r="N17" s="3" t="s">
        <v>414</v>
      </c>
      <c r="O17" s="3" t="s">
        <v>17</v>
      </c>
      <c r="P17" s="3" t="s">
        <v>17</v>
      </c>
      <c r="Q17" s="3" t="s">
        <v>374</v>
      </c>
      <c r="R17" s="3" t="s">
        <v>24</v>
      </c>
      <c r="S17" s="3" t="s">
        <v>30</v>
      </c>
      <c r="T17" s="3">
        <v>49</v>
      </c>
      <c r="U17" s="3" t="s">
        <v>602</v>
      </c>
      <c r="V17" s="3" t="s">
        <v>17</v>
      </c>
      <c r="W17" s="3" t="s">
        <v>541</v>
      </c>
      <c r="X17" s="3" t="s">
        <v>1167</v>
      </c>
      <c r="Y17" s="3" t="s">
        <v>452</v>
      </c>
      <c r="Z17" s="3" t="s">
        <v>602</v>
      </c>
      <c r="AA17" s="3" t="s">
        <v>456</v>
      </c>
      <c r="AB17" s="3" t="s">
        <v>1084</v>
      </c>
      <c r="AC17" s="3" t="s">
        <v>1085</v>
      </c>
      <c r="AD17" s="3" t="s">
        <v>1083</v>
      </c>
      <c r="AE17" s="3" t="s">
        <v>1086</v>
      </c>
      <c r="AF17" s="3" t="s">
        <v>1087</v>
      </c>
      <c r="AG17" s="3" t="s">
        <v>1088</v>
      </c>
      <c r="AH17" s="3" t="s">
        <v>1089</v>
      </c>
      <c r="AI17" s="3" t="s">
        <v>17</v>
      </c>
    </row>
    <row r="18" spans="1:36" ht="16.5" customHeight="1" x14ac:dyDescent="0.25">
      <c r="A18" s="3" t="s">
        <v>60</v>
      </c>
      <c r="B18" s="3" t="s">
        <v>281</v>
      </c>
      <c r="C18" s="3" t="s">
        <v>358</v>
      </c>
      <c r="D18" s="3" t="s">
        <v>158</v>
      </c>
      <c r="E18" s="3" t="s">
        <v>305</v>
      </c>
      <c r="F18" s="3">
        <v>2018</v>
      </c>
      <c r="G18" s="3" t="s">
        <v>222</v>
      </c>
      <c r="H18" s="3" t="s">
        <v>15</v>
      </c>
      <c r="I18" s="3" t="s">
        <v>374</v>
      </c>
      <c r="J18" s="3" t="s">
        <v>372</v>
      </c>
      <c r="K18" s="3" t="s">
        <v>382</v>
      </c>
      <c r="L18" s="3" t="s">
        <v>19</v>
      </c>
      <c r="M18" s="3" t="s">
        <v>23</v>
      </c>
      <c r="N18" s="3" t="s">
        <v>449</v>
      </c>
      <c r="O18" s="3" t="s">
        <v>33</v>
      </c>
      <c r="P18" s="3" t="s">
        <v>36</v>
      </c>
      <c r="Q18" s="3" t="s">
        <v>374</v>
      </c>
      <c r="R18" s="3" t="s">
        <v>454</v>
      </c>
      <c r="S18" s="3" t="s">
        <v>30</v>
      </c>
      <c r="T18" s="3">
        <v>10</v>
      </c>
      <c r="U18" s="3" t="s">
        <v>602</v>
      </c>
      <c r="V18" s="3">
        <v>0</v>
      </c>
      <c r="W18" s="3" t="s">
        <v>541</v>
      </c>
      <c r="X18" s="3" t="s">
        <v>550</v>
      </c>
      <c r="Y18" s="3" t="s">
        <v>460</v>
      </c>
      <c r="Z18" s="3" t="s">
        <v>368</v>
      </c>
      <c r="AA18" s="3" t="s">
        <v>456</v>
      </c>
      <c r="AB18" s="3" t="s">
        <v>17</v>
      </c>
      <c r="AC18" s="3" t="s">
        <v>611</v>
      </c>
      <c r="AD18" s="3" t="s">
        <v>610</v>
      </c>
      <c r="AE18" s="3" t="s">
        <v>612</v>
      </c>
      <c r="AF18" s="3" t="s">
        <v>17</v>
      </c>
      <c r="AG18" s="3" t="s">
        <v>614</v>
      </c>
      <c r="AH18" s="3" t="s">
        <v>615</v>
      </c>
      <c r="AI18" s="3" t="s">
        <v>609</v>
      </c>
    </row>
    <row r="19" spans="1:36" ht="16.5" customHeight="1" x14ac:dyDescent="0.25">
      <c r="A19" s="3" t="s">
        <v>61</v>
      </c>
      <c r="B19" s="3" t="s">
        <v>283</v>
      </c>
      <c r="C19" s="3" t="s">
        <v>359</v>
      </c>
      <c r="D19" s="3" t="s">
        <v>159</v>
      </c>
      <c r="E19" s="3" t="s">
        <v>282</v>
      </c>
      <c r="F19" s="3">
        <v>2023</v>
      </c>
      <c r="G19" s="3" t="s">
        <v>223</v>
      </c>
      <c r="H19" s="3" t="s">
        <v>14</v>
      </c>
      <c r="I19" s="3" t="s">
        <v>393</v>
      </c>
      <c r="J19" s="3" t="s">
        <v>372</v>
      </c>
      <c r="K19" s="3" t="s">
        <v>11</v>
      </c>
      <c r="L19" s="3" t="s">
        <v>19</v>
      </c>
      <c r="M19" s="3" t="s">
        <v>21</v>
      </c>
      <c r="N19" s="3" t="s">
        <v>449</v>
      </c>
      <c r="O19" s="3" t="s">
        <v>35</v>
      </c>
      <c r="P19" s="3" t="s">
        <v>364</v>
      </c>
      <c r="Q19" s="3" t="s">
        <v>457</v>
      </c>
      <c r="R19" s="3" t="s">
        <v>24</v>
      </c>
      <c r="S19" s="3" t="s">
        <v>31</v>
      </c>
      <c r="T19" s="3">
        <v>36</v>
      </c>
      <c r="U19" s="3" t="s">
        <v>602</v>
      </c>
      <c r="V19" s="3">
        <v>3</v>
      </c>
      <c r="W19" s="3" t="s">
        <v>541</v>
      </c>
      <c r="X19" s="3" t="s">
        <v>597</v>
      </c>
      <c r="Y19" s="3" t="s">
        <v>459</v>
      </c>
      <c r="Z19" s="3" t="s">
        <v>368</v>
      </c>
      <c r="AA19" s="3" t="s">
        <v>456</v>
      </c>
      <c r="AB19" s="3" t="s">
        <v>509</v>
      </c>
      <c r="AC19" s="3" t="s">
        <v>617</v>
      </c>
      <c r="AD19" s="3" t="s">
        <v>616</v>
      </c>
      <c r="AE19" s="3" t="s">
        <v>618</v>
      </c>
      <c r="AF19" s="3" t="s">
        <v>17</v>
      </c>
      <c r="AG19" s="3" t="s">
        <v>619</v>
      </c>
      <c r="AH19" s="3" t="s">
        <v>620</v>
      </c>
      <c r="AI19" s="3" t="s">
        <v>621</v>
      </c>
    </row>
    <row r="20" spans="1:36" ht="16.5" customHeight="1" x14ac:dyDescent="0.25">
      <c r="A20" s="3" t="s">
        <v>62</v>
      </c>
      <c r="B20" s="3" t="s">
        <v>285</v>
      </c>
      <c r="C20" s="3" t="s">
        <v>359</v>
      </c>
      <c r="D20" s="3" t="s">
        <v>160</v>
      </c>
      <c r="E20" s="3" t="s">
        <v>284</v>
      </c>
      <c r="F20" s="3">
        <v>2015</v>
      </c>
      <c r="G20" s="3" t="s">
        <v>221</v>
      </c>
      <c r="H20" s="3" t="s">
        <v>14</v>
      </c>
      <c r="I20" s="3" t="s">
        <v>375</v>
      </c>
      <c r="J20" s="3" t="s">
        <v>372</v>
      </c>
      <c r="K20" s="3" t="s">
        <v>11</v>
      </c>
      <c r="L20" s="3" t="s">
        <v>19</v>
      </c>
      <c r="M20" s="3" t="s">
        <v>23</v>
      </c>
      <c r="N20" s="3" t="s">
        <v>449</v>
      </c>
      <c r="O20" s="3" t="s">
        <v>33</v>
      </c>
      <c r="P20" s="3" t="s">
        <v>36</v>
      </c>
      <c r="Q20" s="3" t="s">
        <v>424</v>
      </c>
      <c r="R20" s="3" t="s">
        <v>24</v>
      </c>
      <c r="S20" s="3" t="s">
        <v>27</v>
      </c>
      <c r="T20" s="3">
        <v>16</v>
      </c>
      <c r="U20" s="3" t="s">
        <v>602</v>
      </c>
      <c r="V20" s="3" t="s">
        <v>17</v>
      </c>
      <c r="W20" s="3" t="s">
        <v>1407</v>
      </c>
      <c r="X20" s="3" t="s">
        <v>597</v>
      </c>
      <c r="Y20" s="3" t="s">
        <v>31</v>
      </c>
      <c r="Z20" s="3" t="s">
        <v>602</v>
      </c>
      <c r="AA20" s="3" t="s">
        <v>31</v>
      </c>
      <c r="AB20" s="3" t="s">
        <v>17</v>
      </c>
      <c r="AC20" s="3" t="s">
        <v>623</v>
      </c>
      <c r="AD20" s="3" t="s">
        <v>622</v>
      </c>
      <c r="AE20" s="3" t="s">
        <v>624</v>
      </c>
      <c r="AF20" s="3" t="s">
        <v>17</v>
      </c>
      <c r="AG20" s="3" t="s">
        <v>625</v>
      </c>
      <c r="AH20" s="3" t="s">
        <v>626</v>
      </c>
      <c r="AI20" s="3" t="s">
        <v>627</v>
      </c>
    </row>
    <row r="21" spans="1:36" ht="16.5" customHeight="1" x14ac:dyDescent="0.25">
      <c r="A21" s="3" t="s">
        <v>63</v>
      </c>
      <c r="B21" s="3" t="s">
        <v>286</v>
      </c>
      <c r="C21" s="3" t="s">
        <v>359</v>
      </c>
      <c r="D21" s="3" t="s">
        <v>161</v>
      </c>
      <c r="E21" s="3" t="s">
        <v>17</v>
      </c>
      <c r="F21" s="3">
        <v>2017</v>
      </c>
      <c r="G21" s="3" t="s">
        <v>224</v>
      </c>
      <c r="H21" s="3" t="s">
        <v>14</v>
      </c>
      <c r="I21" s="3" t="s">
        <v>374</v>
      </c>
      <c r="J21" s="3" t="s">
        <v>372</v>
      </c>
      <c r="K21" s="3" t="s">
        <v>11</v>
      </c>
      <c r="L21" s="3" t="s">
        <v>19</v>
      </c>
      <c r="M21" s="3" t="s">
        <v>23</v>
      </c>
      <c r="N21" s="3" t="s">
        <v>354</v>
      </c>
      <c r="O21" s="3" t="s">
        <v>17</v>
      </c>
      <c r="P21" s="3" t="s">
        <v>17</v>
      </c>
      <c r="Q21" s="3" t="s">
        <v>17</v>
      </c>
      <c r="R21" s="3" t="s">
        <v>17</v>
      </c>
      <c r="S21" s="3" t="s">
        <v>17</v>
      </c>
      <c r="T21" s="3" t="s">
        <v>17</v>
      </c>
      <c r="U21" s="3" t="s">
        <v>17</v>
      </c>
      <c r="V21" s="3" t="s">
        <v>17</v>
      </c>
      <c r="W21" s="3" t="s">
        <v>541</v>
      </c>
      <c r="X21" s="3" t="s">
        <v>628</v>
      </c>
      <c r="Y21" s="3" t="s">
        <v>31</v>
      </c>
      <c r="Z21" s="3" t="s">
        <v>602</v>
      </c>
      <c r="AA21" s="3" t="s">
        <v>31</v>
      </c>
      <c r="AB21" s="3" t="s">
        <v>629</v>
      </c>
      <c r="AC21" s="3" t="s">
        <v>630</v>
      </c>
      <c r="AD21" s="3" t="s">
        <v>631</v>
      </c>
      <c r="AE21" s="3" t="s">
        <v>632</v>
      </c>
      <c r="AF21" s="3" t="s">
        <v>633</v>
      </c>
      <c r="AG21" s="3" t="s">
        <v>634</v>
      </c>
      <c r="AH21" s="3" t="s">
        <v>635</v>
      </c>
      <c r="AI21" s="3" t="s">
        <v>17</v>
      </c>
    </row>
    <row r="22" spans="1:36" ht="16.5" customHeight="1" x14ac:dyDescent="0.25">
      <c r="A22" s="3" t="s">
        <v>64</v>
      </c>
      <c r="B22" s="3" t="s">
        <v>531</v>
      </c>
      <c r="C22" s="3" t="s">
        <v>359</v>
      </c>
      <c r="D22" s="3" t="s">
        <v>532</v>
      </c>
      <c r="E22" s="3" t="s">
        <v>530</v>
      </c>
      <c r="F22" s="3">
        <v>2019</v>
      </c>
      <c r="G22" s="3" t="s">
        <v>528</v>
      </c>
      <c r="H22" s="3" t="s">
        <v>13</v>
      </c>
      <c r="I22" s="3" t="s">
        <v>374</v>
      </c>
      <c r="J22" s="3" t="s">
        <v>372</v>
      </c>
      <c r="K22" s="3" t="s">
        <v>399</v>
      </c>
      <c r="L22" s="3" t="s">
        <v>19</v>
      </c>
      <c r="M22" s="3" t="s">
        <v>409</v>
      </c>
      <c r="N22" s="3" t="s">
        <v>354</v>
      </c>
      <c r="O22" s="3" t="s">
        <v>17</v>
      </c>
      <c r="P22" s="3" t="s">
        <v>17</v>
      </c>
      <c r="Q22" s="3" t="s">
        <v>17</v>
      </c>
      <c r="R22" s="3" t="s">
        <v>17</v>
      </c>
      <c r="S22" s="3" t="s">
        <v>17</v>
      </c>
      <c r="T22" s="3" t="s">
        <v>17</v>
      </c>
      <c r="U22" s="3" t="s">
        <v>17</v>
      </c>
      <c r="V22" s="3" t="s">
        <v>17</v>
      </c>
      <c r="W22" s="3" t="s">
        <v>17</v>
      </c>
      <c r="X22" s="3" t="s">
        <v>17</v>
      </c>
      <c r="Y22" s="3" t="s">
        <v>17</v>
      </c>
      <c r="Z22" s="3" t="s">
        <v>17</v>
      </c>
      <c r="AA22" s="3" t="s">
        <v>17</v>
      </c>
      <c r="AB22" s="3" t="s">
        <v>17</v>
      </c>
      <c r="AC22" s="3" t="s">
        <v>1094</v>
      </c>
      <c r="AD22" s="3" t="s">
        <v>17</v>
      </c>
      <c r="AE22" s="3" t="s">
        <v>1090</v>
      </c>
      <c r="AF22" s="3" t="s">
        <v>17</v>
      </c>
      <c r="AG22" s="3" t="s">
        <v>1093</v>
      </c>
      <c r="AH22" s="3" t="s">
        <v>1091</v>
      </c>
      <c r="AI22" s="3" t="s">
        <v>1092</v>
      </c>
    </row>
    <row r="23" spans="1:36" ht="16.5" customHeight="1" x14ac:dyDescent="0.25">
      <c r="A23" s="3" t="s">
        <v>65</v>
      </c>
      <c r="B23" s="3" t="s">
        <v>445</v>
      </c>
      <c r="C23" s="3" t="s">
        <v>358</v>
      </c>
      <c r="D23" s="3" t="s">
        <v>444</v>
      </c>
      <c r="E23" s="3" t="s">
        <v>17</v>
      </c>
      <c r="F23" s="3">
        <v>2019</v>
      </c>
      <c r="G23" s="3" t="s">
        <v>443</v>
      </c>
      <c r="H23" s="3" t="s">
        <v>13</v>
      </c>
      <c r="I23" s="3" t="s">
        <v>375</v>
      </c>
      <c r="J23" s="3" t="s">
        <v>372</v>
      </c>
      <c r="K23" s="3" t="s">
        <v>11</v>
      </c>
      <c r="L23" s="3" t="s">
        <v>19</v>
      </c>
      <c r="M23" s="3" t="s">
        <v>409</v>
      </c>
      <c r="N23" s="3" t="s">
        <v>449</v>
      </c>
      <c r="O23" s="3" t="s">
        <v>35</v>
      </c>
      <c r="P23" s="3" t="s">
        <v>36</v>
      </c>
      <c r="Q23" s="3" t="s">
        <v>374</v>
      </c>
      <c r="R23" s="3" t="s">
        <v>24</v>
      </c>
      <c r="S23" s="3" t="s">
        <v>28</v>
      </c>
      <c r="T23" s="3">
        <v>15</v>
      </c>
      <c r="U23" s="3" t="s">
        <v>602</v>
      </c>
      <c r="V23" s="3">
        <v>2</v>
      </c>
      <c r="W23" s="3" t="s">
        <v>541</v>
      </c>
      <c r="X23" s="3" t="s">
        <v>1130</v>
      </c>
      <c r="Y23" s="3" t="s">
        <v>452</v>
      </c>
      <c r="Z23" s="3" t="s">
        <v>2</v>
      </c>
      <c r="AA23" s="3" t="s">
        <v>456</v>
      </c>
      <c r="AB23" s="3" t="s">
        <v>1096</v>
      </c>
      <c r="AC23" s="3" t="s">
        <v>1097</v>
      </c>
      <c r="AD23" s="3" t="s">
        <v>1095</v>
      </c>
      <c r="AE23" s="3" t="s">
        <v>1131</v>
      </c>
      <c r="AF23" s="3" t="s">
        <v>1098</v>
      </c>
      <c r="AG23" s="3" t="s">
        <v>1099</v>
      </c>
      <c r="AH23" s="3" t="s">
        <v>1100</v>
      </c>
      <c r="AI23" s="3" t="s">
        <v>1101</v>
      </c>
    </row>
    <row r="24" spans="1:36" ht="16.5" customHeight="1" x14ac:dyDescent="0.25">
      <c r="A24" s="3" t="s">
        <v>66</v>
      </c>
      <c r="B24" s="3" t="s">
        <v>492</v>
      </c>
      <c r="C24" s="3" t="s">
        <v>358</v>
      </c>
      <c r="D24" s="3" t="s">
        <v>178</v>
      </c>
      <c r="E24" s="3" t="s">
        <v>17</v>
      </c>
      <c r="F24" s="3">
        <v>2017</v>
      </c>
      <c r="G24" s="3" t="s">
        <v>240</v>
      </c>
      <c r="H24" s="3" t="s">
        <v>14</v>
      </c>
      <c r="I24" s="3" t="s">
        <v>374</v>
      </c>
      <c r="J24" s="3" t="s">
        <v>372</v>
      </c>
      <c r="K24" s="3" t="s">
        <v>11</v>
      </c>
      <c r="L24" s="3" t="s">
        <v>19</v>
      </c>
      <c r="M24" s="3" t="s">
        <v>21</v>
      </c>
      <c r="N24" s="3" t="s">
        <v>449</v>
      </c>
      <c r="O24" s="3" t="s">
        <v>33</v>
      </c>
      <c r="P24" s="3" t="s">
        <v>36</v>
      </c>
      <c r="Q24" s="3" t="s">
        <v>374</v>
      </c>
      <c r="R24" s="3" t="s">
        <v>454</v>
      </c>
      <c r="S24" s="3" t="s">
        <v>30</v>
      </c>
      <c r="T24" s="3">
        <v>1</v>
      </c>
      <c r="U24" s="3" t="s">
        <v>360</v>
      </c>
      <c r="V24" s="3">
        <v>2</v>
      </c>
      <c r="W24" s="3" t="s">
        <v>541</v>
      </c>
      <c r="X24" s="3" t="s">
        <v>564</v>
      </c>
      <c r="Y24" s="3" t="s">
        <v>459</v>
      </c>
      <c r="Z24" s="3" t="s">
        <v>368</v>
      </c>
      <c r="AA24" s="3" t="s">
        <v>456</v>
      </c>
      <c r="AB24" s="3" t="s">
        <v>216</v>
      </c>
      <c r="AC24" s="3" t="s">
        <v>768</v>
      </c>
      <c r="AD24" s="3" t="s">
        <v>767</v>
      </c>
      <c r="AE24" s="3" t="s">
        <v>769</v>
      </c>
      <c r="AF24" s="3" t="s">
        <v>770</v>
      </c>
      <c r="AG24" s="3" t="s">
        <v>771</v>
      </c>
      <c r="AH24" s="3" t="s">
        <v>772</v>
      </c>
      <c r="AI24" s="3" t="s">
        <v>773</v>
      </c>
    </row>
    <row r="25" spans="1:36" ht="16.5" customHeight="1" x14ac:dyDescent="0.25">
      <c r="A25" s="3" t="s">
        <v>67</v>
      </c>
      <c r="B25" s="3" t="s">
        <v>491</v>
      </c>
      <c r="C25" s="3" t="s">
        <v>358</v>
      </c>
      <c r="D25" s="3" t="s">
        <v>162</v>
      </c>
      <c r="E25" s="3" t="s">
        <v>287</v>
      </c>
      <c r="F25" s="3">
        <v>2016</v>
      </c>
      <c r="G25" s="3" t="s">
        <v>225</v>
      </c>
      <c r="H25" s="3" t="s">
        <v>17</v>
      </c>
      <c r="I25" s="3" t="s">
        <v>17</v>
      </c>
      <c r="J25" s="3" t="s">
        <v>17</v>
      </c>
      <c r="K25" s="3" t="s">
        <v>17</v>
      </c>
      <c r="L25" s="3" t="s">
        <v>19</v>
      </c>
      <c r="M25" s="3" t="s">
        <v>23</v>
      </c>
      <c r="N25" s="3" t="s">
        <v>355</v>
      </c>
      <c r="O25" s="3" t="s">
        <v>17</v>
      </c>
      <c r="P25" s="3" t="s">
        <v>466</v>
      </c>
      <c r="Q25" s="3" t="s">
        <v>17</v>
      </c>
      <c r="R25" s="3" t="s">
        <v>24</v>
      </c>
      <c r="S25" s="3" t="s">
        <v>31</v>
      </c>
      <c r="T25" s="3" t="s">
        <v>17</v>
      </c>
      <c r="U25" s="3" t="s">
        <v>602</v>
      </c>
      <c r="V25" s="3" t="s">
        <v>17</v>
      </c>
      <c r="W25" s="3" t="s">
        <v>541</v>
      </c>
      <c r="X25" s="3" t="s">
        <v>628</v>
      </c>
      <c r="Y25" s="3" t="s">
        <v>31</v>
      </c>
      <c r="Z25" s="3" t="s">
        <v>17</v>
      </c>
      <c r="AA25" s="3" t="s">
        <v>31</v>
      </c>
      <c r="AB25" s="3" t="s">
        <v>642</v>
      </c>
      <c r="AC25" s="3" t="s">
        <v>641</v>
      </c>
      <c r="AD25" s="3" t="s">
        <v>643</v>
      </c>
      <c r="AE25" s="3" t="s">
        <v>640</v>
      </c>
      <c r="AF25" s="3" t="s">
        <v>636</v>
      </c>
      <c r="AG25" s="3" t="s">
        <v>637</v>
      </c>
      <c r="AH25" s="3" t="s">
        <v>638</v>
      </c>
      <c r="AI25" s="3" t="s">
        <v>639</v>
      </c>
    </row>
    <row r="26" spans="1:36" ht="16.5" customHeight="1" x14ac:dyDescent="0.25">
      <c r="A26" s="3" t="s">
        <v>68</v>
      </c>
      <c r="B26" s="3" t="s">
        <v>294</v>
      </c>
      <c r="C26" s="3" t="s">
        <v>359</v>
      </c>
      <c r="D26" s="3" t="s">
        <v>163</v>
      </c>
      <c r="E26" s="3" t="s">
        <v>288</v>
      </c>
      <c r="F26" s="3">
        <v>2022</v>
      </c>
      <c r="G26" s="3" t="s">
        <v>404</v>
      </c>
      <c r="H26" s="3" t="s">
        <v>13</v>
      </c>
      <c r="I26" s="3" t="s">
        <v>387</v>
      </c>
      <c r="J26" s="3" t="s">
        <v>372</v>
      </c>
      <c r="K26" s="3" t="s">
        <v>11</v>
      </c>
      <c r="L26" s="3" t="s">
        <v>19</v>
      </c>
      <c r="M26" s="3" t="s">
        <v>23</v>
      </c>
      <c r="N26" s="3" t="s">
        <v>449</v>
      </c>
      <c r="O26" s="3" t="s">
        <v>35</v>
      </c>
      <c r="P26" s="3" t="s">
        <v>363</v>
      </c>
      <c r="Q26" s="3" t="s">
        <v>374</v>
      </c>
      <c r="R26" s="3" t="s">
        <v>24</v>
      </c>
      <c r="S26" s="3" t="s">
        <v>29</v>
      </c>
      <c r="T26" s="3">
        <v>42</v>
      </c>
      <c r="U26" s="3" t="s">
        <v>602</v>
      </c>
      <c r="V26" s="3">
        <v>0</v>
      </c>
      <c r="W26" s="3" t="s">
        <v>541</v>
      </c>
      <c r="X26" s="3" t="s">
        <v>564</v>
      </c>
      <c r="Y26" s="3" t="s">
        <v>17</v>
      </c>
      <c r="Z26" s="3" t="s">
        <v>368</v>
      </c>
      <c r="AA26" s="3" t="s">
        <v>456</v>
      </c>
      <c r="AB26" s="3" t="s">
        <v>17</v>
      </c>
      <c r="AC26" s="3" t="s">
        <v>645</v>
      </c>
      <c r="AD26" s="3" t="s">
        <v>644</v>
      </c>
      <c r="AE26" s="3" t="s">
        <v>646</v>
      </c>
      <c r="AF26" s="3" t="s">
        <v>17</v>
      </c>
      <c r="AG26" s="3" t="s">
        <v>647</v>
      </c>
      <c r="AH26" s="3" t="s">
        <v>648</v>
      </c>
      <c r="AI26" s="3" t="s">
        <v>649</v>
      </c>
    </row>
    <row r="27" spans="1:36" ht="16.5" customHeight="1" x14ac:dyDescent="0.25">
      <c r="A27" s="3" t="s">
        <v>69</v>
      </c>
      <c r="B27" s="3" t="s">
        <v>142</v>
      </c>
      <c r="C27" s="3" t="s">
        <v>359</v>
      </c>
      <c r="D27" s="3" t="s">
        <v>484</v>
      </c>
      <c r="E27" s="3" t="s">
        <v>289</v>
      </c>
      <c r="F27" s="3">
        <v>2019</v>
      </c>
      <c r="G27" s="3" t="s">
        <v>226</v>
      </c>
      <c r="H27" s="3" t="s">
        <v>14</v>
      </c>
      <c r="I27" s="3" t="s">
        <v>381</v>
      </c>
      <c r="J27" s="3" t="s">
        <v>372</v>
      </c>
      <c r="K27" s="3" t="s">
        <v>11</v>
      </c>
      <c r="L27" s="3" t="s">
        <v>20</v>
      </c>
      <c r="M27" s="3" t="s">
        <v>21</v>
      </c>
      <c r="N27" s="3" t="s">
        <v>355</v>
      </c>
      <c r="O27" s="3" t="s">
        <v>17</v>
      </c>
      <c r="P27" s="3" t="s">
        <v>466</v>
      </c>
      <c r="Q27" s="3" t="s">
        <v>17</v>
      </c>
      <c r="R27" s="3" t="s">
        <v>24</v>
      </c>
      <c r="S27" s="3" t="s">
        <v>27</v>
      </c>
      <c r="T27" s="3" t="s">
        <v>17</v>
      </c>
      <c r="U27" s="3" t="s">
        <v>602</v>
      </c>
      <c r="V27" s="3" t="s">
        <v>17</v>
      </c>
      <c r="W27" s="3" t="s">
        <v>541</v>
      </c>
      <c r="X27" s="3" t="s">
        <v>564</v>
      </c>
      <c r="Y27" s="3" t="s">
        <v>461</v>
      </c>
      <c r="Z27" s="3" t="s">
        <v>17</v>
      </c>
      <c r="AA27" s="3" t="s">
        <v>456</v>
      </c>
      <c r="AB27" s="3" t="s">
        <v>651</v>
      </c>
      <c r="AC27" s="3" t="s">
        <v>652</v>
      </c>
      <c r="AD27" s="3" t="s">
        <v>650</v>
      </c>
      <c r="AE27" s="3" t="s">
        <v>653</v>
      </c>
      <c r="AF27" s="3" t="s">
        <v>654</v>
      </c>
      <c r="AG27" s="3" t="s">
        <v>655</v>
      </c>
      <c r="AH27" s="3" t="s">
        <v>656</v>
      </c>
      <c r="AI27" s="3" t="s">
        <v>657</v>
      </c>
    </row>
    <row r="28" spans="1:36" ht="16.5" customHeight="1" x14ac:dyDescent="0.25">
      <c r="A28" s="3" t="s">
        <v>70</v>
      </c>
      <c r="B28" s="3" t="s">
        <v>143</v>
      </c>
      <c r="C28" s="3" t="s">
        <v>358</v>
      </c>
      <c r="D28" s="3" t="s">
        <v>164</v>
      </c>
      <c r="E28" s="3" t="s">
        <v>290</v>
      </c>
      <c r="F28" s="3">
        <v>2023</v>
      </c>
      <c r="G28" s="3" t="s">
        <v>227</v>
      </c>
      <c r="H28" s="3" t="s">
        <v>13</v>
      </c>
      <c r="I28" s="3" t="s">
        <v>391</v>
      </c>
      <c r="J28" s="3" t="s">
        <v>372</v>
      </c>
      <c r="K28" s="3" t="s">
        <v>11</v>
      </c>
      <c r="L28" s="3" t="s">
        <v>19</v>
      </c>
      <c r="M28" s="3" t="s">
        <v>21</v>
      </c>
      <c r="N28" s="3" t="s">
        <v>449</v>
      </c>
      <c r="O28" s="3" t="s">
        <v>35</v>
      </c>
      <c r="P28" s="3" t="s">
        <v>363</v>
      </c>
      <c r="Q28" s="3" t="s">
        <v>464</v>
      </c>
      <c r="R28" s="3" t="s">
        <v>24</v>
      </c>
      <c r="S28" s="3" t="s">
        <v>29</v>
      </c>
      <c r="T28" s="3">
        <v>51</v>
      </c>
      <c r="U28" s="3" t="s">
        <v>360</v>
      </c>
      <c r="V28" s="3">
        <v>0</v>
      </c>
      <c r="W28" s="3" t="s">
        <v>541</v>
      </c>
      <c r="X28" s="3" t="s">
        <v>564</v>
      </c>
      <c r="Y28" s="3" t="s">
        <v>17</v>
      </c>
      <c r="Z28" s="3" t="s">
        <v>368</v>
      </c>
      <c r="AA28" s="3" t="s">
        <v>17</v>
      </c>
      <c r="AB28" s="3" t="s">
        <v>659</v>
      </c>
      <c r="AC28" s="3" t="s">
        <v>660</v>
      </c>
      <c r="AD28" s="3" t="s">
        <v>658</v>
      </c>
      <c r="AE28" s="3" t="s">
        <v>661</v>
      </c>
      <c r="AF28" s="3" t="s">
        <v>662</v>
      </c>
      <c r="AG28" s="3" t="s">
        <v>663</v>
      </c>
      <c r="AH28" s="3" t="s">
        <v>664</v>
      </c>
      <c r="AI28" s="3" t="s">
        <v>665</v>
      </c>
      <c r="AJ28" s="6"/>
    </row>
    <row r="29" spans="1:36" ht="16.5" customHeight="1" x14ac:dyDescent="0.25">
      <c r="A29" s="3" t="s">
        <v>71</v>
      </c>
      <c r="B29" s="3" t="s">
        <v>490</v>
      </c>
      <c r="C29" s="3" t="s">
        <v>359</v>
      </c>
      <c r="D29" s="3" t="s">
        <v>488</v>
      </c>
      <c r="E29" s="3" t="s">
        <v>489</v>
      </c>
      <c r="F29" s="3">
        <v>2015</v>
      </c>
      <c r="G29" s="5" t="s">
        <v>1273</v>
      </c>
      <c r="H29" s="3" t="s">
        <v>17</v>
      </c>
      <c r="I29" s="3" t="s">
        <v>17</v>
      </c>
      <c r="J29" s="3" t="s">
        <v>17</v>
      </c>
      <c r="K29" s="3" t="s">
        <v>17</v>
      </c>
      <c r="L29" s="3" t="s">
        <v>20</v>
      </c>
      <c r="M29" s="3" t="s">
        <v>409</v>
      </c>
      <c r="N29" s="3" t="s">
        <v>449</v>
      </c>
      <c r="O29" s="3" t="s">
        <v>35</v>
      </c>
      <c r="P29" s="3" t="s">
        <v>36</v>
      </c>
      <c r="Q29" s="3" t="s">
        <v>381</v>
      </c>
      <c r="R29" s="3" t="s">
        <v>24</v>
      </c>
      <c r="S29" s="3" t="s">
        <v>30</v>
      </c>
      <c r="T29" s="3">
        <v>28</v>
      </c>
      <c r="U29" s="3" t="s">
        <v>360</v>
      </c>
      <c r="V29" s="3">
        <v>0</v>
      </c>
      <c r="W29" s="3" t="s">
        <v>541</v>
      </c>
      <c r="X29" s="3" t="s">
        <v>1102</v>
      </c>
      <c r="Y29" s="3" t="s">
        <v>17</v>
      </c>
      <c r="Z29" s="3" t="s">
        <v>602</v>
      </c>
      <c r="AA29" s="3" t="s">
        <v>456</v>
      </c>
      <c r="AB29" s="3" t="s">
        <v>1104</v>
      </c>
      <c r="AC29" s="3" t="s">
        <v>790</v>
      </c>
      <c r="AD29" s="3" t="s">
        <v>1103</v>
      </c>
      <c r="AE29" s="3" t="s">
        <v>1105</v>
      </c>
      <c r="AF29" s="3" t="s">
        <v>1106</v>
      </c>
      <c r="AG29" s="3" t="s">
        <v>1107</v>
      </c>
      <c r="AH29" s="3" t="s">
        <v>1108</v>
      </c>
      <c r="AI29" s="3" t="s">
        <v>1109</v>
      </c>
    </row>
    <row r="30" spans="1:36" ht="16.5" customHeight="1" x14ac:dyDescent="0.25">
      <c r="A30" s="3" t="s">
        <v>72</v>
      </c>
      <c r="B30" s="3" t="s">
        <v>144</v>
      </c>
      <c r="C30" s="3" t="s">
        <v>359</v>
      </c>
      <c r="D30" s="3" t="s">
        <v>292</v>
      </c>
      <c r="E30" s="3" t="s">
        <v>291</v>
      </c>
      <c r="F30" s="3">
        <v>2022</v>
      </c>
      <c r="G30" s="3" t="s">
        <v>293</v>
      </c>
      <c r="H30" s="3" t="s">
        <v>14</v>
      </c>
      <c r="I30" s="3" t="s">
        <v>398</v>
      </c>
      <c r="J30" s="3" t="s">
        <v>372</v>
      </c>
      <c r="K30" s="3" t="s">
        <v>11</v>
      </c>
      <c r="L30" s="3" t="s">
        <v>19</v>
      </c>
      <c r="M30" s="3" t="s">
        <v>22</v>
      </c>
      <c r="N30" s="3" t="s">
        <v>449</v>
      </c>
      <c r="O30" s="3" t="s">
        <v>33</v>
      </c>
      <c r="P30" s="3" t="s">
        <v>364</v>
      </c>
      <c r="Q30" s="3" t="s">
        <v>465</v>
      </c>
      <c r="R30" s="3" t="s">
        <v>24</v>
      </c>
      <c r="S30" s="3" t="s">
        <v>27</v>
      </c>
      <c r="T30" s="3" t="s">
        <v>17</v>
      </c>
      <c r="U30" s="3" t="s">
        <v>602</v>
      </c>
      <c r="V30" s="3" t="s">
        <v>17</v>
      </c>
      <c r="W30" s="3" t="s">
        <v>17</v>
      </c>
      <c r="X30" s="3" t="s">
        <v>667</v>
      </c>
      <c r="Y30" s="3" t="s">
        <v>461</v>
      </c>
      <c r="Z30" s="3" t="s">
        <v>602</v>
      </c>
      <c r="AA30" s="3" t="s">
        <v>456</v>
      </c>
      <c r="AB30" s="3" t="s">
        <v>668</v>
      </c>
      <c r="AC30" s="3" t="s">
        <v>669</v>
      </c>
      <c r="AD30" s="3" t="s">
        <v>666</v>
      </c>
      <c r="AE30" s="3" t="s">
        <v>670</v>
      </c>
      <c r="AF30" s="3" t="s">
        <v>671</v>
      </c>
      <c r="AG30" s="3" t="s">
        <v>672</v>
      </c>
      <c r="AH30" s="3" t="s">
        <v>673</v>
      </c>
      <c r="AI30" s="3" t="s">
        <v>674</v>
      </c>
    </row>
    <row r="31" spans="1:36" ht="16.5" customHeight="1" x14ac:dyDescent="0.25">
      <c r="A31" s="3" t="s">
        <v>73</v>
      </c>
      <c r="B31" s="3" t="s">
        <v>295</v>
      </c>
      <c r="C31" s="3" t="s">
        <v>359</v>
      </c>
      <c r="D31" s="3" t="s">
        <v>165</v>
      </c>
      <c r="E31" s="3" t="s">
        <v>17</v>
      </c>
      <c r="F31" s="3">
        <v>2023</v>
      </c>
      <c r="G31" s="3" t="s">
        <v>228</v>
      </c>
      <c r="H31" s="3" t="s">
        <v>14</v>
      </c>
      <c r="I31" s="3" t="s">
        <v>374</v>
      </c>
      <c r="J31" s="3" t="s">
        <v>372</v>
      </c>
      <c r="K31" s="3" t="s">
        <v>11</v>
      </c>
      <c r="L31" s="3" t="s">
        <v>19</v>
      </c>
      <c r="M31" s="3" t="s">
        <v>23</v>
      </c>
      <c r="N31" s="3" t="s">
        <v>449</v>
      </c>
      <c r="O31" s="3" t="s">
        <v>35</v>
      </c>
      <c r="P31" s="3" t="s">
        <v>36</v>
      </c>
      <c r="Q31" s="3" t="s">
        <v>375</v>
      </c>
      <c r="R31" s="3" t="s">
        <v>24</v>
      </c>
      <c r="S31" s="3" t="s">
        <v>31</v>
      </c>
      <c r="T31" s="3">
        <v>222</v>
      </c>
      <c r="U31" s="3" t="s">
        <v>602</v>
      </c>
      <c r="V31" s="3">
        <v>2</v>
      </c>
      <c r="W31" s="3" t="s">
        <v>541</v>
      </c>
      <c r="X31" s="3" t="s">
        <v>564</v>
      </c>
      <c r="Y31" s="3" t="s">
        <v>461</v>
      </c>
      <c r="Z31" s="3" t="s">
        <v>602</v>
      </c>
      <c r="AA31" s="3" t="s">
        <v>456</v>
      </c>
      <c r="AB31" s="3" t="s">
        <v>455</v>
      </c>
      <c r="AC31" s="3" t="s">
        <v>676</v>
      </c>
      <c r="AD31" s="3" t="s">
        <v>675</v>
      </c>
      <c r="AE31" s="3" t="s">
        <v>677</v>
      </c>
      <c r="AF31" s="3" t="s">
        <v>678</v>
      </c>
      <c r="AG31" s="3" t="s">
        <v>679</v>
      </c>
      <c r="AH31" s="3" t="s">
        <v>680</v>
      </c>
      <c r="AI31" s="3" t="s">
        <v>681</v>
      </c>
    </row>
    <row r="32" spans="1:36" ht="16.5" customHeight="1" x14ac:dyDescent="0.25">
      <c r="A32" s="3" t="s">
        <v>74</v>
      </c>
      <c r="B32" s="3" t="s">
        <v>296</v>
      </c>
      <c r="C32" s="3" t="s">
        <v>358</v>
      </c>
      <c r="D32" s="3" t="s">
        <v>166</v>
      </c>
      <c r="E32" s="3" t="s">
        <v>297</v>
      </c>
      <c r="F32" s="3">
        <v>2020</v>
      </c>
      <c r="G32" s="3" t="s">
        <v>229</v>
      </c>
      <c r="H32" s="3" t="s">
        <v>15</v>
      </c>
      <c r="I32" s="3" t="s">
        <v>383</v>
      </c>
      <c r="J32" s="3" t="s">
        <v>372</v>
      </c>
      <c r="K32" s="3" t="s">
        <v>11</v>
      </c>
      <c r="L32" s="3" t="s">
        <v>19</v>
      </c>
      <c r="M32" s="3" t="s">
        <v>23</v>
      </c>
      <c r="N32" s="3" t="s">
        <v>449</v>
      </c>
      <c r="O32" s="3" t="s">
        <v>35</v>
      </c>
      <c r="P32" s="3" t="s">
        <v>36</v>
      </c>
      <c r="Q32" s="3" t="s">
        <v>383</v>
      </c>
      <c r="R32" s="3" t="s">
        <v>24</v>
      </c>
      <c r="S32" s="3" t="s">
        <v>31</v>
      </c>
      <c r="T32" s="3">
        <v>12</v>
      </c>
      <c r="U32" s="3" t="s">
        <v>602</v>
      </c>
      <c r="V32" s="3" t="s">
        <v>17</v>
      </c>
      <c r="W32" s="3" t="s">
        <v>541</v>
      </c>
      <c r="X32" s="3" t="s">
        <v>667</v>
      </c>
      <c r="Y32" s="3" t="s">
        <v>461</v>
      </c>
      <c r="Z32" s="3" t="s">
        <v>602</v>
      </c>
      <c r="AA32" s="3" t="s">
        <v>456</v>
      </c>
      <c r="AB32" s="3" t="s">
        <v>683</v>
      </c>
      <c r="AC32" s="3" t="s">
        <v>684</v>
      </c>
      <c r="AD32" s="3" t="s">
        <v>682</v>
      </c>
      <c r="AE32" s="3" t="s">
        <v>685</v>
      </c>
      <c r="AF32" s="3" t="s">
        <v>686</v>
      </c>
      <c r="AG32" s="3" t="s">
        <v>687</v>
      </c>
      <c r="AH32" s="3" t="s">
        <v>688</v>
      </c>
      <c r="AI32" s="3" t="s">
        <v>1132</v>
      </c>
    </row>
    <row r="33" spans="1:35" ht="16.5" customHeight="1" x14ac:dyDescent="0.25">
      <c r="A33" s="3" t="s">
        <v>75</v>
      </c>
      <c r="B33" s="3" t="s">
        <v>498</v>
      </c>
      <c r="C33" s="3" t="s">
        <v>358</v>
      </c>
      <c r="D33" s="3" t="s">
        <v>1274</v>
      </c>
      <c r="E33" s="3" t="s">
        <v>499</v>
      </c>
      <c r="F33" s="3">
        <v>2020</v>
      </c>
      <c r="G33" s="3" t="s">
        <v>1038</v>
      </c>
      <c r="H33" s="3" t="s">
        <v>13</v>
      </c>
      <c r="I33" s="3" t="s">
        <v>374</v>
      </c>
      <c r="J33" s="3" t="s">
        <v>372</v>
      </c>
      <c r="K33" s="3" t="s">
        <v>372</v>
      </c>
      <c r="L33" s="3" t="s">
        <v>19</v>
      </c>
      <c r="M33" s="3" t="s">
        <v>409</v>
      </c>
      <c r="N33" s="3" t="s">
        <v>449</v>
      </c>
      <c r="O33" s="3" t="s">
        <v>33</v>
      </c>
      <c r="P33" s="3" t="s">
        <v>36</v>
      </c>
      <c r="Q33" s="3" t="s">
        <v>374</v>
      </c>
      <c r="R33" s="3" t="s">
        <v>24</v>
      </c>
      <c r="S33" s="3" t="s">
        <v>30</v>
      </c>
      <c r="T33" s="3">
        <v>13</v>
      </c>
      <c r="U33" s="3" t="s">
        <v>360</v>
      </c>
      <c r="V33" s="3">
        <v>2</v>
      </c>
      <c r="W33" s="3" t="s">
        <v>541</v>
      </c>
      <c r="X33" s="3" t="s">
        <v>1133</v>
      </c>
      <c r="Y33" s="3" t="s">
        <v>17</v>
      </c>
      <c r="Z33" s="3" t="s">
        <v>602</v>
      </c>
      <c r="AA33" s="3" t="s">
        <v>456</v>
      </c>
      <c r="AB33" s="3" t="s">
        <v>1113</v>
      </c>
      <c r="AC33" s="3" t="s">
        <v>1114</v>
      </c>
      <c r="AD33" s="3" t="s">
        <v>1112</v>
      </c>
      <c r="AE33" s="3" t="s">
        <v>1115</v>
      </c>
      <c r="AG33" s="3" t="s">
        <v>1110</v>
      </c>
      <c r="AH33" s="3" t="s">
        <v>1116</v>
      </c>
      <c r="AI33" s="3" t="s">
        <v>1117</v>
      </c>
    </row>
    <row r="34" spans="1:35" ht="16.5" customHeight="1" x14ac:dyDescent="0.25">
      <c r="A34" s="3" t="s">
        <v>76</v>
      </c>
      <c r="B34" s="3" t="s">
        <v>426</v>
      </c>
      <c r="C34" s="3" t="s">
        <v>358</v>
      </c>
      <c r="D34" s="3" t="s">
        <v>425</v>
      </c>
      <c r="E34" s="3" t="s">
        <v>428</v>
      </c>
      <c r="F34" s="3">
        <v>2015</v>
      </c>
      <c r="G34" s="3" t="s">
        <v>427</v>
      </c>
      <c r="H34" s="3" t="s">
        <v>17</v>
      </c>
      <c r="I34" s="3" t="s">
        <v>17</v>
      </c>
      <c r="J34" s="3" t="s">
        <v>17</v>
      </c>
      <c r="K34" s="3" t="s">
        <v>17</v>
      </c>
      <c r="L34" s="3" t="s">
        <v>19</v>
      </c>
      <c r="M34" s="3" t="s">
        <v>409</v>
      </c>
      <c r="N34" s="3" t="s">
        <v>449</v>
      </c>
      <c r="O34" s="3" t="s">
        <v>33</v>
      </c>
      <c r="P34" s="3" t="s">
        <v>36</v>
      </c>
      <c r="Q34" s="3" t="s">
        <v>374</v>
      </c>
      <c r="R34" s="3" t="s">
        <v>24</v>
      </c>
      <c r="S34" s="3" t="s">
        <v>27</v>
      </c>
      <c r="T34" s="3">
        <v>8</v>
      </c>
      <c r="U34" s="3" t="s">
        <v>360</v>
      </c>
      <c r="V34" s="3">
        <v>2</v>
      </c>
      <c r="W34" s="3" t="s">
        <v>541</v>
      </c>
      <c r="X34" s="3" t="s">
        <v>564</v>
      </c>
      <c r="Y34" s="3" t="s">
        <v>452</v>
      </c>
      <c r="Z34" s="3" t="s">
        <v>602</v>
      </c>
      <c r="AA34" s="3" t="s">
        <v>456</v>
      </c>
      <c r="AB34" s="3" t="s">
        <v>1118</v>
      </c>
      <c r="AC34" s="3" t="s">
        <v>1114</v>
      </c>
      <c r="AD34" s="3" t="s">
        <v>1119</v>
      </c>
      <c r="AE34" s="3" t="s">
        <v>1120</v>
      </c>
      <c r="AF34" s="3" t="s">
        <v>17</v>
      </c>
      <c r="AG34" s="3" t="s">
        <v>1121</v>
      </c>
      <c r="AH34" s="3" t="s">
        <v>1122</v>
      </c>
      <c r="AI34" s="3" t="s">
        <v>1123</v>
      </c>
    </row>
    <row r="35" spans="1:35" ht="16.5" customHeight="1" x14ac:dyDescent="0.25">
      <c r="A35" s="3" t="s">
        <v>77</v>
      </c>
      <c r="B35" s="3" t="s">
        <v>1275</v>
      </c>
      <c r="C35" s="3" t="s">
        <v>358</v>
      </c>
      <c r="D35" s="3" t="s">
        <v>503</v>
      </c>
      <c r="E35" s="3" t="s">
        <v>1036</v>
      </c>
      <c r="F35" s="3">
        <v>2019</v>
      </c>
      <c r="G35" s="3" t="s">
        <v>504</v>
      </c>
      <c r="H35" s="3" t="s">
        <v>17</v>
      </c>
      <c r="I35" s="3" t="s">
        <v>17</v>
      </c>
      <c r="J35" s="3" t="s">
        <v>17</v>
      </c>
      <c r="K35" s="3" t="s">
        <v>17</v>
      </c>
      <c r="L35" s="3" t="s">
        <v>19</v>
      </c>
      <c r="M35" s="3" t="s">
        <v>409</v>
      </c>
      <c r="N35" s="3" t="s">
        <v>449</v>
      </c>
      <c r="O35" s="3" t="s">
        <v>35</v>
      </c>
      <c r="P35" s="3" t="s">
        <v>362</v>
      </c>
      <c r="Q35" s="3" t="s">
        <v>375</v>
      </c>
      <c r="R35" s="3" t="s">
        <v>25</v>
      </c>
      <c r="S35" s="3" t="s">
        <v>31</v>
      </c>
      <c r="T35" s="3">
        <v>492</v>
      </c>
      <c r="U35" s="3" t="s">
        <v>360</v>
      </c>
      <c r="V35" s="3">
        <v>3</v>
      </c>
      <c r="W35" s="3" t="s">
        <v>541</v>
      </c>
      <c r="X35" s="3" t="s">
        <v>597</v>
      </c>
      <c r="Y35" s="3" t="s">
        <v>461</v>
      </c>
      <c r="Z35" s="3" t="s">
        <v>602</v>
      </c>
      <c r="AA35" s="3" t="s">
        <v>456</v>
      </c>
      <c r="AB35" s="3" t="s">
        <v>455</v>
      </c>
      <c r="AC35" s="3" t="s">
        <v>1178</v>
      </c>
      <c r="AD35" s="3" t="s">
        <v>1177</v>
      </c>
      <c r="AE35" s="3" t="s">
        <v>1173</v>
      </c>
      <c r="AF35" s="3" t="s">
        <v>17</v>
      </c>
      <c r="AG35" s="3" t="s">
        <v>1174</v>
      </c>
      <c r="AH35" s="3" t="s">
        <v>1179</v>
      </c>
      <c r="AI35" s="3" t="s">
        <v>1176</v>
      </c>
    </row>
    <row r="36" spans="1:35" ht="16.5" customHeight="1" x14ac:dyDescent="0.25">
      <c r="A36" s="3" t="s">
        <v>78</v>
      </c>
      <c r="B36" s="3" t="s">
        <v>1276</v>
      </c>
      <c r="C36" s="3" t="s">
        <v>358</v>
      </c>
      <c r="D36" s="3" t="s">
        <v>500</v>
      </c>
      <c r="E36" s="3" t="s">
        <v>501</v>
      </c>
      <c r="F36" s="3">
        <v>2019</v>
      </c>
      <c r="G36" s="3" t="s">
        <v>502</v>
      </c>
      <c r="H36" s="3" t="s">
        <v>17</v>
      </c>
      <c r="I36" s="3" t="s">
        <v>17</v>
      </c>
      <c r="J36" s="3" t="s">
        <v>17</v>
      </c>
      <c r="K36" s="3" t="s">
        <v>17</v>
      </c>
      <c r="L36" s="3" t="s">
        <v>19</v>
      </c>
      <c r="M36" s="3" t="s">
        <v>409</v>
      </c>
      <c r="N36" s="3" t="s">
        <v>449</v>
      </c>
      <c r="O36" s="3" t="s">
        <v>35</v>
      </c>
      <c r="P36" s="3" t="s">
        <v>367</v>
      </c>
      <c r="Q36" s="3" t="s">
        <v>375</v>
      </c>
      <c r="R36" s="3" t="s">
        <v>25</v>
      </c>
      <c r="S36" s="3" t="s">
        <v>31</v>
      </c>
      <c r="T36" s="3">
        <v>217</v>
      </c>
      <c r="U36" s="3" t="s">
        <v>360</v>
      </c>
      <c r="V36" s="3" t="s">
        <v>17</v>
      </c>
      <c r="W36" s="3" t="s">
        <v>541</v>
      </c>
      <c r="X36" s="3" t="s">
        <v>597</v>
      </c>
      <c r="Y36" s="3" t="s">
        <v>461</v>
      </c>
      <c r="Z36" s="3" t="s">
        <v>602</v>
      </c>
      <c r="AA36" s="3" t="s">
        <v>456</v>
      </c>
      <c r="AB36" s="3" t="s">
        <v>455</v>
      </c>
      <c r="AC36" s="3" t="s">
        <v>1114</v>
      </c>
      <c r="AD36" s="3" t="s">
        <v>1172</v>
      </c>
      <c r="AE36" s="3" t="s">
        <v>1173</v>
      </c>
      <c r="AF36" s="3" t="s">
        <v>17</v>
      </c>
      <c r="AG36" s="3" t="s">
        <v>1174</v>
      </c>
      <c r="AH36" s="3" t="s">
        <v>1175</v>
      </c>
      <c r="AI36" s="3" t="s">
        <v>1176</v>
      </c>
    </row>
    <row r="37" spans="1:35" ht="16.5" customHeight="1" x14ac:dyDescent="0.25">
      <c r="A37" s="3" t="s">
        <v>79</v>
      </c>
      <c r="B37" s="3" t="s">
        <v>299</v>
      </c>
      <c r="C37" s="3" t="s">
        <v>358</v>
      </c>
      <c r="D37" s="3" t="s">
        <v>169</v>
      </c>
      <c r="E37" s="3" t="s">
        <v>17</v>
      </c>
      <c r="F37" s="3">
        <v>2023</v>
      </c>
      <c r="G37" s="3" t="s">
        <v>232</v>
      </c>
      <c r="H37" s="3" t="s">
        <v>17</v>
      </c>
      <c r="I37" s="3" t="s">
        <v>17</v>
      </c>
      <c r="J37" s="3" t="s">
        <v>17</v>
      </c>
      <c r="K37" s="3" t="s">
        <v>17</v>
      </c>
      <c r="L37" s="3" t="s">
        <v>19</v>
      </c>
      <c r="M37" s="3" t="s">
        <v>23</v>
      </c>
      <c r="N37" s="3" t="s">
        <v>449</v>
      </c>
      <c r="O37" s="3" t="s">
        <v>33</v>
      </c>
      <c r="P37" s="3" t="s">
        <v>36</v>
      </c>
      <c r="Q37" s="3" t="s">
        <v>375</v>
      </c>
      <c r="R37" s="3" t="s">
        <v>24</v>
      </c>
      <c r="S37" s="3" t="s">
        <v>27</v>
      </c>
      <c r="T37" s="3" t="s">
        <v>17</v>
      </c>
      <c r="U37" s="3" t="s">
        <v>602</v>
      </c>
      <c r="V37" s="3">
        <v>4</v>
      </c>
      <c r="W37" s="3" t="s">
        <v>541</v>
      </c>
      <c r="X37" s="3" t="s">
        <v>689</v>
      </c>
      <c r="Y37" s="3" t="s">
        <v>461</v>
      </c>
      <c r="Z37" s="3" t="s">
        <v>17</v>
      </c>
      <c r="AA37" s="3" t="s">
        <v>17</v>
      </c>
      <c r="AB37" s="3" t="s">
        <v>510</v>
      </c>
      <c r="AC37" s="3" t="s">
        <v>684</v>
      </c>
      <c r="AD37" s="3" t="s">
        <v>690</v>
      </c>
      <c r="AE37" s="3" t="s">
        <v>691</v>
      </c>
      <c r="AF37" s="3" t="s">
        <v>692</v>
      </c>
      <c r="AG37" s="3" t="s">
        <v>693</v>
      </c>
      <c r="AH37" s="3" t="s">
        <v>694</v>
      </c>
      <c r="AI37" s="3" t="s">
        <v>695</v>
      </c>
    </row>
    <row r="38" spans="1:35" ht="16.5" customHeight="1" x14ac:dyDescent="0.25">
      <c r="A38" s="3" t="s">
        <v>80</v>
      </c>
      <c r="B38" s="3" t="s">
        <v>303</v>
      </c>
      <c r="C38" s="3" t="s">
        <v>358</v>
      </c>
      <c r="D38" s="3" t="s">
        <v>170</v>
      </c>
      <c r="E38" s="5" t="s">
        <v>302</v>
      </c>
      <c r="F38" s="3">
        <v>2020</v>
      </c>
      <c r="G38" s="3" t="s">
        <v>232</v>
      </c>
      <c r="H38" s="3" t="s">
        <v>17</v>
      </c>
      <c r="I38" s="3" t="s">
        <v>17</v>
      </c>
      <c r="J38" s="3" t="s">
        <v>17</v>
      </c>
      <c r="K38" s="3" t="s">
        <v>17</v>
      </c>
      <c r="L38" s="3" t="s">
        <v>19</v>
      </c>
      <c r="M38" s="3" t="s">
        <v>23</v>
      </c>
      <c r="N38" s="3" t="s">
        <v>449</v>
      </c>
      <c r="O38" s="3" t="s">
        <v>35</v>
      </c>
      <c r="P38" s="3" t="s">
        <v>36</v>
      </c>
      <c r="Q38" s="3" t="s">
        <v>375</v>
      </c>
      <c r="R38" s="3" t="s">
        <v>24</v>
      </c>
      <c r="S38" s="3" t="s">
        <v>27</v>
      </c>
      <c r="T38" s="3">
        <v>68</v>
      </c>
      <c r="U38" s="3" t="s">
        <v>602</v>
      </c>
      <c r="V38" s="3">
        <v>0</v>
      </c>
      <c r="W38" s="3" t="s">
        <v>541</v>
      </c>
      <c r="X38" s="3" t="s">
        <v>696</v>
      </c>
      <c r="Y38" s="3" t="s">
        <v>461</v>
      </c>
      <c r="Z38" s="3" t="s">
        <v>17</v>
      </c>
      <c r="AA38" s="3" t="s">
        <v>17</v>
      </c>
      <c r="AB38" s="3" t="s">
        <v>455</v>
      </c>
      <c r="AC38" s="3" t="s">
        <v>684</v>
      </c>
      <c r="AD38" s="3" t="s">
        <v>697</v>
      </c>
      <c r="AE38" s="3" t="s">
        <v>698</v>
      </c>
      <c r="AF38" s="3" t="s">
        <v>699</v>
      </c>
      <c r="AG38" s="3" t="s">
        <v>700</v>
      </c>
      <c r="AH38" s="3" t="s">
        <v>701</v>
      </c>
      <c r="AI38" s="3" t="s">
        <v>702</v>
      </c>
    </row>
    <row r="39" spans="1:35" ht="16.5" customHeight="1" x14ac:dyDescent="0.25">
      <c r="A39" s="3" t="s">
        <v>81</v>
      </c>
      <c r="B39" s="3" t="s">
        <v>301</v>
      </c>
      <c r="C39" s="3" t="s">
        <v>358</v>
      </c>
      <c r="D39" s="3" t="s">
        <v>168</v>
      </c>
      <c r="E39" s="3" t="s">
        <v>300</v>
      </c>
      <c r="F39" s="3">
        <v>2020</v>
      </c>
      <c r="G39" s="3" t="s">
        <v>231</v>
      </c>
      <c r="H39" s="3" t="s">
        <v>16</v>
      </c>
      <c r="I39" s="3" t="s">
        <v>375</v>
      </c>
      <c r="J39" s="3" t="s">
        <v>378</v>
      </c>
      <c r="K39" s="3" t="s">
        <v>380</v>
      </c>
      <c r="L39" s="3" t="s">
        <v>19</v>
      </c>
      <c r="M39" s="3" t="s">
        <v>23</v>
      </c>
      <c r="N39" s="3" t="s">
        <v>449</v>
      </c>
      <c r="O39" s="3" t="s">
        <v>35</v>
      </c>
      <c r="P39" s="3" t="s">
        <v>36</v>
      </c>
      <c r="Q39" s="3" t="s">
        <v>375</v>
      </c>
      <c r="R39" s="3" t="s">
        <v>454</v>
      </c>
      <c r="S39" s="3" t="s">
        <v>31</v>
      </c>
      <c r="T39" s="3">
        <v>29</v>
      </c>
      <c r="U39" s="3" t="s">
        <v>360</v>
      </c>
      <c r="V39" s="3" t="s">
        <v>17</v>
      </c>
      <c r="W39" s="3" t="s">
        <v>541</v>
      </c>
      <c r="X39" s="3" t="s">
        <v>550</v>
      </c>
      <c r="Y39" s="3" t="s">
        <v>461</v>
      </c>
      <c r="Z39" s="3" t="s">
        <v>602</v>
      </c>
      <c r="AA39" s="3" t="s">
        <v>456</v>
      </c>
      <c r="AB39" s="3" t="s">
        <v>455</v>
      </c>
      <c r="AC39" s="3" t="s">
        <v>704</v>
      </c>
      <c r="AD39" s="3" t="s">
        <v>703</v>
      </c>
      <c r="AE39" s="3" t="s">
        <v>705</v>
      </c>
      <c r="AF39" s="3" t="s">
        <v>17</v>
      </c>
      <c r="AG39" s="3" t="s">
        <v>706</v>
      </c>
      <c r="AH39" s="3" t="s">
        <v>707</v>
      </c>
      <c r="AI39" s="3" t="s">
        <v>708</v>
      </c>
    </row>
    <row r="40" spans="1:35" ht="16.5" customHeight="1" x14ac:dyDescent="0.25">
      <c r="A40" s="3" t="s">
        <v>82</v>
      </c>
      <c r="B40" s="3" t="s">
        <v>145</v>
      </c>
      <c r="C40" s="3" t="s">
        <v>358</v>
      </c>
      <c r="D40" s="3" t="s">
        <v>167</v>
      </c>
      <c r="E40" s="3" t="s">
        <v>298</v>
      </c>
      <c r="F40" s="3">
        <v>2019</v>
      </c>
      <c r="G40" s="3" t="s">
        <v>230</v>
      </c>
      <c r="H40" s="3" t="s">
        <v>14</v>
      </c>
      <c r="I40" s="3" t="s">
        <v>397</v>
      </c>
      <c r="J40" s="3" t="s">
        <v>372</v>
      </c>
      <c r="K40" s="3" t="s">
        <v>386</v>
      </c>
      <c r="L40" s="3" t="s">
        <v>19</v>
      </c>
      <c r="M40" s="3" t="s">
        <v>21</v>
      </c>
      <c r="N40" s="3" t="s">
        <v>449</v>
      </c>
      <c r="O40" s="3" t="s">
        <v>35</v>
      </c>
      <c r="P40" s="3" t="s">
        <v>367</v>
      </c>
      <c r="Q40" s="3" t="s">
        <v>375</v>
      </c>
      <c r="R40" s="3" t="s">
        <v>602</v>
      </c>
      <c r="S40" s="3" t="s">
        <v>31</v>
      </c>
      <c r="T40" s="3" t="s">
        <v>709</v>
      </c>
      <c r="U40" s="3" t="s">
        <v>360</v>
      </c>
      <c r="V40" s="3">
        <v>4</v>
      </c>
      <c r="W40" s="3" t="s">
        <v>541</v>
      </c>
      <c r="X40" s="3" t="s">
        <v>564</v>
      </c>
      <c r="Y40" s="3" t="s">
        <v>461</v>
      </c>
      <c r="Z40" s="3" t="s">
        <v>602</v>
      </c>
      <c r="AA40" s="3" t="s">
        <v>456</v>
      </c>
      <c r="AB40" s="3" t="s">
        <v>711</v>
      </c>
      <c r="AC40" s="3" t="s">
        <v>712</v>
      </c>
      <c r="AD40" s="3" t="s">
        <v>710</v>
      </c>
      <c r="AE40" s="3" t="s">
        <v>713</v>
      </c>
      <c r="AF40" s="3" t="s">
        <v>17</v>
      </c>
      <c r="AG40" s="3" t="s">
        <v>714</v>
      </c>
      <c r="AH40" s="3" t="s">
        <v>715</v>
      </c>
      <c r="AI40" s="3" t="s">
        <v>716</v>
      </c>
    </row>
    <row r="41" spans="1:35" ht="16.5" customHeight="1" x14ac:dyDescent="0.25">
      <c r="A41" s="3" t="s">
        <v>83</v>
      </c>
      <c r="B41" s="3" t="s">
        <v>1277</v>
      </c>
      <c r="C41" s="3" t="s">
        <v>358</v>
      </c>
      <c r="D41" s="3" t="s">
        <v>485</v>
      </c>
      <c r="E41" s="3" t="s">
        <v>487</v>
      </c>
      <c r="F41" s="3">
        <v>2015</v>
      </c>
      <c r="G41" s="3" t="s">
        <v>486</v>
      </c>
      <c r="H41" s="3" t="s">
        <v>17</v>
      </c>
      <c r="I41" s="3" t="s">
        <v>17</v>
      </c>
      <c r="J41" s="3" t="s">
        <v>17</v>
      </c>
      <c r="K41" s="3" t="s">
        <v>17</v>
      </c>
      <c r="L41" s="3" t="s">
        <v>20</v>
      </c>
      <c r="M41" s="3" t="s">
        <v>409</v>
      </c>
      <c r="N41" s="3" t="s">
        <v>414</v>
      </c>
      <c r="O41" s="3" t="s">
        <v>17</v>
      </c>
      <c r="P41" s="3" t="s">
        <v>17</v>
      </c>
      <c r="Q41" s="3" t="s">
        <v>381</v>
      </c>
      <c r="R41" s="3" t="s">
        <v>24</v>
      </c>
      <c r="S41" s="3" t="s">
        <v>27</v>
      </c>
      <c r="T41" s="3">
        <v>40</v>
      </c>
      <c r="U41" s="3" t="s">
        <v>602</v>
      </c>
      <c r="V41" s="3" t="s">
        <v>17</v>
      </c>
      <c r="W41" s="3" t="s">
        <v>541</v>
      </c>
      <c r="X41" s="3" t="s">
        <v>564</v>
      </c>
      <c r="Y41" s="3" t="s">
        <v>17</v>
      </c>
      <c r="Z41" s="3" t="s">
        <v>17</v>
      </c>
      <c r="AA41" s="3" t="s">
        <v>456</v>
      </c>
      <c r="AB41" s="3" t="s">
        <v>1181</v>
      </c>
      <c r="AC41" s="3" t="s">
        <v>1182</v>
      </c>
      <c r="AD41" s="3" t="s">
        <v>1180</v>
      </c>
      <c r="AE41" s="3" t="s">
        <v>1183</v>
      </c>
      <c r="AF41" s="3" t="s">
        <v>1184</v>
      </c>
      <c r="AG41" s="3" t="s">
        <v>1185</v>
      </c>
      <c r="AH41" s="3" t="s">
        <v>1186</v>
      </c>
      <c r="AI41" s="3" t="s">
        <v>1187</v>
      </c>
    </row>
    <row r="42" spans="1:35" ht="16.5" customHeight="1" x14ac:dyDescent="0.25">
      <c r="A42" s="3" t="s">
        <v>84</v>
      </c>
      <c r="B42" s="3" t="s">
        <v>304</v>
      </c>
      <c r="C42" s="3" t="s">
        <v>358</v>
      </c>
      <c r="D42" s="3" t="s">
        <v>171</v>
      </c>
      <c r="E42" s="3" t="s">
        <v>408</v>
      </c>
      <c r="F42" s="3">
        <v>2024</v>
      </c>
      <c r="G42" s="3" t="s">
        <v>401</v>
      </c>
      <c r="H42" s="3" t="s">
        <v>13</v>
      </c>
      <c r="I42" s="3" t="s">
        <v>375</v>
      </c>
      <c r="J42" s="3" t="s">
        <v>372</v>
      </c>
      <c r="K42" s="3" t="s">
        <v>11</v>
      </c>
      <c r="L42" s="3" t="s">
        <v>19</v>
      </c>
      <c r="M42" s="3" t="s">
        <v>23</v>
      </c>
      <c r="N42" s="3" t="s">
        <v>449</v>
      </c>
      <c r="O42" s="3" t="s">
        <v>33</v>
      </c>
      <c r="P42" s="3" t="s">
        <v>36</v>
      </c>
      <c r="Q42" s="3" t="s">
        <v>397</v>
      </c>
      <c r="R42" s="3" t="s">
        <v>454</v>
      </c>
      <c r="S42" s="3" t="s">
        <v>27</v>
      </c>
      <c r="T42" s="3">
        <v>1</v>
      </c>
      <c r="U42" s="3" t="s">
        <v>360</v>
      </c>
      <c r="V42" s="3">
        <v>0</v>
      </c>
      <c r="W42" s="3" t="s">
        <v>541</v>
      </c>
      <c r="X42" s="3" t="s">
        <v>717</v>
      </c>
      <c r="Y42" s="3" t="s">
        <v>17</v>
      </c>
      <c r="Z42" s="3" t="s">
        <v>368</v>
      </c>
      <c r="AA42" s="3" t="s">
        <v>31</v>
      </c>
      <c r="AB42" s="3" t="s">
        <v>510</v>
      </c>
      <c r="AC42" s="3" t="s">
        <v>718</v>
      </c>
      <c r="AD42" s="3" t="s">
        <v>719</v>
      </c>
      <c r="AE42" s="3" t="s">
        <v>720</v>
      </c>
      <c r="AF42" s="3" t="s">
        <v>721</v>
      </c>
      <c r="AG42" s="3" t="s">
        <v>722</v>
      </c>
      <c r="AH42" s="3" t="s">
        <v>723</v>
      </c>
      <c r="AI42" s="3" t="s">
        <v>724</v>
      </c>
    </row>
    <row r="43" spans="1:35" ht="16.5" customHeight="1" x14ac:dyDescent="0.25">
      <c r="A43" s="3" t="s">
        <v>85</v>
      </c>
      <c r="B43" s="3" t="s">
        <v>333</v>
      </c>
      <c r="C43" s="3" t="s">
        <v>358</v>
      </c>
      <c r="D43" s="3" t="s">
        <v>172</v>
      </c>
      <c r="E43" s="3" t="s">
        <v>17</v>
      </c>
      <c r="F43" s="3">
        <v>2019</v>
      </c>
      <c r="G43" s="3" t="s">
        <v>233</v>
      </c>
      <c r="H43" s="3" t="s">
        <v>17</v>
      </c>
      <c r="I43" s="3" t="s">
        <v>17</v>
      </c>
      <c r="J43" s="3" t="s">
        <v>17</v>
      </c>
      <c r="K43" s="3" t="s">
        <v>17</v>
      </c>
      <c r="L43" s="3" t="s">
        <v>19</v>
      </c>
      <c r="M43" s="3" t="s">
        <v>23</v>
      </c>
      <c r="N43" s="3" t="s">
        <v>449</v>
      </c>
      <c r="O43" s="3" t="s">
        <v>33</v>
      </c>
      <c r="P43" s="3" t="s">
        <v>36</v>
      </c>
      <c r="Q43" s="3" t="s">
        <v>374</v>
      </c>
      <c r="R43" s="3" t="s">
        <v>24</v>
      </c>
      <c r="S43" s="3" t="s">
        <v>27</v>
      </c>
      <c r="T43" s="3">
        <v>124</v>
      </c>
      <c r="U43" s="3" t="s">
        <v>360</v>
      </c>
      <c r="V43" s="3">
        <v>3</v>
      </c>
      <c r="W43" s="3" t="s">
        <v>541</v>
      </c>
      <c r="X43" s="3" t="s">
        <v>717</v>
      </c>
      <c r="Y43" s="3" t="s">
        <v>458</v>
      </c>
      <c r="Z43" s="3" t="s">
        <v>602</v>
      </c>
      <c r="AA43" s="3" t="s">
        <v>456</v>
      </c>
      <c r="AB43" s="3" t="s">
        <v>17</v>
      </c>
      <c r="AC43" s="3" t="s">
        <v>726</v>
      </c>
      <c r="AD43" s="3" t="s">
        <v>725</v>
      </c>
      <c r="AE43" s="3" t="s">
        <v>727</v>
      </c>
      <c r="AF43" s="3" t="s">
        <v>728</v>
      </c>
      <c r="AG43" s="3" t="s">
        <v>729</v>
      </c>
      <c r="AH43" s="3" t="s">
        <v>730</v>
      </c>
      <c r="AI43" s="3" t="s">
        <v>731</v>
      </c>
    </row>
    <row r="44" spans="1:35" ht="16.5" customHeight="1" x14ac:dyDescent="0.25">
      <c r="A44" s="3" t="s">
        <v>86</v>
      </c>
      <c r="B44" s="3" t="s">
        <v>332</v>
      </c>
      <c r="C44" s="3" t="s">
        <v>359</v>
      </c>
      <c r="D44" s="3" t="s">
        <v>173</v>
      </c>
      <c r="E44" s="3" t="s">
        <v>306</v>
      </c>
      <c r="F44" s="3">
        <v>2020</v>
      </c>
      <c r="G44" s="3" t="s">
        <v>234</v>
      </c>
      <c r="H44" s="3" t="s">
        <v>14</v>
      </c>
      <c r="I44" s="3" t="s">
        <v>375</v>
      </c>
      <c r="J44" s="3" t="s">
        <v>372</v>
      </c>
      <c r="K44" s="3" t="s">
        <v>11</v>
      </c>
      <c r="L44" s="3" t="s">
        <v>19</v>
      </c>
      <c r="M44" s="3" t="s">
        <v>23</v>
      </c>
      <c r="N44" s="3" t="s">
        <v>449</v>
      </c>
      <c r="O44" s="3" t="s">
        <v>35</v>
      </c>
      <c r="P44" s="3" t="s">
        <v>364</v>
      </c>
      <c r="Q44" s="3" t="s">
        <v>465</v>
      </c>
      <c r="R44" s="3" t="s">
        <v>24</v>
      </c>
      <c r="S44" s="3" t="s">
        <v>27</v>
      </c>
      <c r="T44" s="3">
        <v>12</v>
      </c>
      <c r="U44" s="3" t="s">
        <v>602</v>
      </c>
      <c r="V44" s="3">
        <v>1</v>
      </c>
      <c r="W44" s="3" t="s">
        <v>541</v>
      </c>
      <c r="X44" s="3" t="s">
        <v>717</v>
      </c>
      <c r="Y44" s="3" t="s">
        <v>461</v>
      </c>
      <c r="Z44" s="3" t="s">
        <v>602</v>
      </c>
      <c r="AA44" s="3" t="s">
        <v>456</v>
      </c>
      <c r="AB44" s="3" t="s">
        <v>515</v>
      </c>
      <c r="AC44" s="3" t="s">
        <v>733</v>
      </c>
      <c r="AD44" s="3" t="s">
        <v>732</v>
      </c>
      <c r="AE44" s="3" t="s">
        <v>734</v>
      </c>
      <c r="AF44" s="3" t="s">
        <v>735</v>
      </c>
      <c r="AG44" s="3" t="s">
        <v>1134</v>
      </c>
      <c r="AH44" s="3" t="s">
        <v>736</v>
      </c>
      <c r="AI44" s="3" t="s">
        <v>737</v>
      </c>
    </row>
    <row r="45" spans="1:35" ht="16.5" customHeight="1" x14ac:dyDescent="0.25">
      <c r="A45" s="3" t="s">
        <v>87</v>
      </c>
      <c r="B45" s="3" t="s">
        <v>307</v>
      </c>
      <c r="C45" s="3" t="s">
        <v>359</v>
      </c>
      <c r="D45" s="3" t="s">
        <v>174</v>
      </c>
      <c r="E45" s="3" t="s">
        <v>308</v>
      </c>
      <c r="F45" s="3">
        <v>2023</v>
      </c>
      <c r="G45" s="3" t="s">
        <v>235</v>
      </c>
      <c r="H45" s="3" t="s">
        <v>15</v>
      </c>
      <c r="I45" s="3" t="s">
        <v>393</v>
      </c>
      <c r="J45" s="3" t="s">
        <v>372</v>
      </c>
      <c r="K45" s="3" t="s">
        <v>11</v>
      </c>
      <c r="L45" s="3" t="s">
        <v>19</v>
      </c>
      <c r="M45" s="3" t="s">
        <v>21</v>
      </c>
      <c r="N45" s="3" t="s">
        <v>449</v>
      </c>
      <c r="O45" s="3" t="s">
        <v>35</v>
      </c>
      <c r="P45" s="3" t="s">
        <v>36</v>
      </c>
      <c r="Q45" s="3" t="s">
        <v>516</v>
      </c>
      <c r="R45" s="3" t="s">
        <v>25</v>
      </c>
      <c r="S45" s="3" t="s">
        <v>31</v>
      </c>
      <c r="T45" s="3">
        <v>15</v>
      </c>
      <c r="U45" s="3" t="s">
        <v>602</v>
      </c>
      <c r="V45" s="3">
        <v>1</v>
      </c>
      <c r="W45" s="3" t="s">
        <v>541</v>
      </c>
      <c r="X45" s="3" t="s">
        <v>739</v>
      </c>
      <c r="Y45" s="3" t="s">
        <v>461</v>
      </c>
      <c r="Z45" s="3" t="s">
        <v>602</v>
      </c>
      <c r="AA45" s="3" t="s">
        <v>456</v>
      </c>
      <c r="AB45" s="3" t="s">
        <v>510</v>
      </c>
      <c r="AC45" s="3" t="s">
        <v>17</v>
      </c>
      <c r="AD45" s="3" t="s">
        <v>740</v>
      </c>
      <c r="AE45" s="3" t="s">
        <v>1135</v>
      </c>
      <c r="AF45" s="3" t="s">
        <v>17</v>
      </c>
      <c r="AG45" s="3" t="s">
        <v>518</v>
      </c>
      <c r="AH45" s="3" t="s">
        <v>517</v>
      </c>
      <c r="AI45" s="3" t="s">
        <v>519</v>
      </c>
    </row>
    <row r="46" spans="1:35" ht="16.5" customHeight="1" x14ac:dyDescent="0.25">
      <c r="A46" s="3" t="s">
        <v>88</v>
      </c>
      <c r="B46" s="3" t="s">
        <v>309</v>
      </c>
      <c r="C46" s="3" t="s">
        <v>359</v>
      </c>
      <c r="D46" s="3" t="s">
        <v>175</v>
      </c>
      <c r="E46" s="3" t="s">
        <v>310</v>
      </c>
      <c r="F46" s="3">
        <v>2018</v>
      </c>
      <c r="G46" s="3" t="s">
        <v>236</v>
      </c>
      <c r="H46" s="3" t="s">
        <v>17</v>
      </c>
      <c r="I46" s="3" t="s">
        <v>17</v>
      </c>
      <c r="J46" s="3" t="s">
        <v>17</v>
      </c>
      <c r="K46" s="3" t="s">
        <v>17</v>
      </c>
      <c r="L46" s="3" t="s">
        <v>19</v>
      </c>
      <c r="M46" s="3" t="s">
        <v>23</v>
      </c>
      <c r="N46" s="3" t="s">
        <v>449</v>
      </c>
      <c r="O46" s="3" t="s">
        <v>35</v>
      </c>
      <c r="P46" s="3" t="s">
        <v>36</v>
      </c>
      <c r="Q46" s="3" t="s">
        <v>374</v>
      </c>
      <c r="R46" s="3" t="s">
        <v>24</v>
      </c>
      <c r="S46" s="3" t="s">
        <v>28</v>
      </c>
      <c r="T46" s="3">
        <v>48</v>
      </c>
      <c r="U46" s="3" t="s">
        <v>360</v>
      </c>
      <c r="V46" s="3">
        <v>0</v>
      </c>
      <c r="W46" s="3" t="s">
        <v>541</v>
      </c>
      <c r="X46" s="3" t="s">
        <v>1136</v>
      </c>
      <c r="Y46" s="3" t="s">
        <v>17</v>
      </c>
      <c r="Z46" s="3" t="s">
        <v>602</v>
      </c>
      <c r="AA46" s="3" t="s">
        <v>456</v>
      </c>
      <c r="AB46" s="3" t="s">
        <v>743</v>
      </c>
      <c r="AC46" s="3" t="s">
        <v>744</v>
      </c>
      <c r="AD46" s="3" t="s">
        <v>742</v>
      </c>
      <c r="AE46" s="3" t="s">
        <v>745</v>
      </c>
      <c r="AF46" s="3" t="s">
        <v>746</v>
      </c>
      <c r="AG46" s="3" t="s">
        <v>520</v>
      </c>
      <c r="AH46" s="3" t="s">
        <v>521</v>
      </c>
      <c r="AI46" s="3" t="s">
        <v>522</v>
      </c>
    </row>
    <row r="47" spans="1:35" ht="16.5" customHeight="1" x14ac:dyDescent="0.25">
      <c r="A47" s="3" t="s">
        <v>89</v>
      </c>
      <c r="B47" s="3" t="s">
        <v>146</v>
      </c>
      <c r="C47" s="3" t="s">
        <v>358</v>
      </c>
      <c r="D47" s="3" t="s">
        <v>176</v>
      </c>
      <c r="E47" s="3" t="s">
        <v>17</v>
      </c>
      <c r="F47" s="3">
        <v>2024</v>
      </c>
      <c r="G47" s="3" t="s">
        <v>237</v>
      </c>
      <c r="H47" s="3" t="s">
        <v>13</v>
      </c>
      <c r="I47" s="3" t="s">
        <v>375</v>
      </c>
      <c r="J47" s="3" t="s">
        <v>372</v>
      </c>
      <c r="K47" s="3" t="s">
        <v>11</v>
      </c>
      <c r="L47" s="3" t="s">
        <v>19</v>
      </c>
      <c r="M47" s="3" t="s">
        <v>21</v>
      </c>
      <c r="N47" s="3" t="s">
        <v>449</v>
      </c>
      <c r="O47" s="3" t="s">
        <v>33</v>
      </c>
      <c r="P47" s="3" t="s">
        <v>37</v>
      </c>
      <c r="Q47" s="3" t="s">
        <v>388</v>
      </c>
      <c r="R47" s="3" t="s">
        <v>24</v>
      </c>
      <c r="S47" s="3" t="s">
        <v>29</v>
      </c>
      <c r="T47" s="3">
        <v>123</v>
      </c>
      <c r="U47" s="3" t="s">
        <v>360</v>
      </c>
      <c r="V47" s="3">
        <v>3</v>
      </c>
      <c r="W47" s="3" t="s">
        <v>541</v>
      </c>
      <c r="X47" s="3" t="s">
        <v>1137</v>
      </c>
      <c r="Y47" s="3" t="s">
        <v>461</v>
      </c>
      <c r="Z47" s="3" t="s">
        <v>602</v>
      </c>
      <c r="AA47" s="3" t="s">
        <v>456</v>
      </c>
      <c r="AB47" s="3" t="s">
        <v>17</v>
      </c>
      <c r="AC47" s="3" t="s">
        <v>753</v>
      </c>
      <c r="AD47" s="3" t="s">
        <v>754</v>
      </c>
      <c r="AE47" s="3" t="s">
        <v>752</v>
      </c>
      <c r="AF47" s="3" t="s">
        <v>17</v>
      </c>
      <c r="AG47" s="3" t="s">
        <v>751</v>
      </c>
      <c r="AH47" s="3" t="s">
        <v>750</v>
      </c>
      <c r="AI47" s="3" t="s">
        <v>749</v>
      </c>
    </row>
    <row r="48" spans="1:35" ht="16.5" customHeight="1" x14ac:dyDescent="0.25">
      <c r="A48" s="3" t="s">
        <v>90</v>
      </c>
      <c r="B48" s="3" t="s">
        <v>511</v>
      </c>
      <c r="C48" s="3" t="s">
        <v>359</v>
      </c>
      <c r="D48" s="3" t="s">
        <v>512</v>
      </c>
      <c r="E48" s="3" t="s">
        <v>513</v>
      </c>
      <c r="F48" s="3">
        <v>2018</v>
      </c>
      <c r="G48" s="3" t="s">
        <v>514</v>
      </c>
      <c r="H48" s="3" t="s">
        <v>13</v>
      </c>
      <c r="I48" s="3" t="s">
        <v>374</v>
      </c>
      <c r="J48" s="3" t="s">
        <v>372</v>
      </c>
      <c r="K48" s="3" t="s">
        <v>11</v>
      </c>
      <c r="L48" s="3" t="s">
        <v>19</v>
      </c>
      <c r="M48" s="3" t="s">
        <v>409</v>
      </c>
      <c r="N48" s="3" t="s">
        <v>354</v>
      </c>
      <c r="O48" s="3" t="s">
        <v>17</v>
      </c>
      <c r="P48" s="3" t="s">
        <v>17</v>
      </c>
      <c r="Q48" s="3" t="s">
        <v>17</v>
      </c>
      <c r="R48" s="3" t="s">
        <v>17</v>
      </c>
      <c r="S48" s="3" t="s">
        <v>17</v>
      </c>
      <c r="T48" s="3" t="s">
        <v>17</v>
      </c>
      <c r="U48" s="3" t="s">
        <v>17</v>
      </c>
      <c r="V48" s="3" t="s">
        <v>17</v>
      </c>
      <c r="W48" s="3" t="s">
        <v>541</v>
      </c>
      <c r="X48" s="3" t="s">
        <v>17</v>
      </c>
      <c r="Y48" s="3" t="s">
        <v>461</v>
      </c>
      <c r="Z48" s="3" t="s">
        <v>17</v>
      </c>
      <c r="AA48" s="3" t="s">
        <v>17</v>
      </c>
      <c r="AB48" s="3" t="s">
        <v>17</v>
      </c>
      <c r="AC48" s="3" t="s">
        <v>1188</v>
      </c>
      <c r="AD48" s="3" t="s">
        <v>17</v>
      </c>
      <c r="AE48" s="3" t="s">
        <v>1189</v>
      </c>
      <c r="AF48" s="3" t="s">
        <v>1192</v>
      </c>
      <c r="AG48" s="3" t="s">
        <v>1190</v>
      </c>
      <c r="AH48" s="3" t="s">
        <v>1191</v>
      </c>
      <c r="AI48" s="3" t="s">
        <v>17</v>
      </c>
    </row>
    <row r="49" spans="1:35" ht="16.5" customHeight="1" x14ac:dyDescent="0.25">
      <c r="A49" s="3" t="s">
        <v>91</v>
      </c>
      <c r="B49" s="3" t="s">
        <v>331</v>
      </c>
      <c r="C49" s="3" t="s">
        <v>359</v>
      </c>
      <c r="D49" s="3" t="s">
        <v>177</v>
      </c>
      <c r="E49" s="3" t="s">
        <v>17</v>
      </c>
      <c r="F49" s="3">
        <v>2017</v>
      </c>
      <c r="G49" s="3" t="s">
        <v>238</v>
      </c>
      <c r="H49" s="3" t="s">
        <v>13</v>
      </c>
      <c r="I49" s="3" t="s">
        <v>374</v>
      </c>
      <c r="J49" s="3" t="s">
        <v>372</v>
      </c>
      <c r="K49" s="3" t="s">
        <v>11</v>
      </c>
      <c r="L49" s="3" t="s">
        <v>19</v>
      </c>
      <c r="M49" s="3" t="s">
        <v>23</v>
      </c>
      <c r="N49" s="3" t="s">
        <v>449</v>
      </c>
      <c r="O49" s="3" t="s">
        <v>33</v>
      </c>
      <c r="P49" s="3" t="s">
        <v>367</v>
      </c>
      <c r="Q49" s="3" t="s">
        <v>17</v>
      </c>
      <c r="R49" s="3" t="s">
        <v>24</v>
      </c>
      <c r="S49" s="3" t="s">
        <v>28</v>
      </c>
      <c r="T49" s="3" t="s">
        <v>17</v>
      </c>
      <c r="U49" s="3" t="s">
        <v>602</v>
      </c>
      <c r="V49" s="3">
        <v>2</v>
      </c>
      <c r="W49" s="3" t="s">
        <v>541</v>
      </c>
      <c r="X49" s="3" t="s">
        <v>564</v>
      </c>
      <c r="Y49" s="3" t="s">
        <v>17</v>
      </c>
      <c r="Z49" s="3" t="s">
        <v>602</v>
      </c>
      <c r="AA49" s="3" t="s">
        <v>456</v>
      </c>
      <c r="AB49" s="3" t="s">
        <v>755</v>
      </c>
      <c r="AC49" s="3" t="s">
        <v>757</v>
      </c>
      <c r="AD49" s="3" t="s">
        <v>756</v>
      </c>
      <c r="AE49" s="3" t="s">
        <v>758</v>
      </c>
      <c r="AF49" s="3" t="s">
        <v>759</v>
      </c>
      <c r="AG49" s="3" t="s">
        <v>760</v>
      </c>
      <c r="AH49" s="3" t="s">
        <v>761</v>
      </c>
      <c r="AI49" s="3" t="s">
        <v>762</v>
      </c>
    </row>
    <row r="50" spans="1:35" ht="16.5" customHeight="1" x14ac:dyDescent="0.25">
      <c r="A50" s="3" t="s">
        <v>92</v>
      </c>
      <c r="B50" s="3" t="s">
        <v>406</v>
      </c>
      <c r="C50" s="3" t="s">
        <v>359</v>
      </c>
      <c r="D50" s="3" t="s">
        <v>311</v>
      </c>
      <c r="E50" s="3" t="s">
        <v>313</v>
      </c>
      <c r="F50" s="3">
        <v>2022</v>
      </c>
      <c r="G50" s="3" t="s">
        <v>312</v>
      </c>
      <c r="H50" s="3" t="s">
        <v>17</v>
      </c>
      <c r="I50" s="3" t="s">
        <v>17</v>
      </c>
      <c r="J50" s="3" t="s">
        <v>17</v>
      </c>
      <c r="K50" s="3" t="s">
        <v>17</v>
      </c>
      <c r="L50" s="3" t="s">
        <v>19</v>
      </c>
      <c r="M50" s="3" t="s">
        <v>21</v>
      </c>
      <c r="N50" s="3" t="s">
        <v>449</v>
      </c>
      <c r="O50" s="3" t="s">
        <v>35</v>
      </c>
      <c r="P50" s="3" t="s">
        <v>363</v>
      </c>
      <c r="Q50" s="3" t="s">
        <v>374</v>
      </c>
      <c r="R50" s="3" t="s">
        <v>454</v>
      </c>
      <c r="S50" s="3" t="s">
        <v>30</v>
      </c>
      <c r="T50" s="3">
        <v>35</v>
      </c>
      <c r="U50" s="3" t="s">
        <v>602</v>
      </c>
      <c r="V50" s="3">
        <v>1</v>
      </c>
      <c r="W50" s="3" t="s">
        <v>541</v>
      </c>
      <c r="X50" s="3" t="s">
        <v>564</v>
      </c>
      <c r="Y50" s="3" t="s">
        <v>459</v>
      </c>
      <c r="Z50" s="3" t="s">
        <v>602</v>
      </c>
      <c r="AA50" s="3" t="s">
        <v>463</v>
      </c>
      <c r="AB50" s="3" t="s">
        <v>455</v>
      </c>
      <c r="AC50" s="3" t="s">
        <v>764</v>
      </c>
      <c r="AD50" s="3" t="s">
        <v>763</v>
      </c>
      <c r="AE50" s="3" t="s">
        <v>1138</v>
      </c>
      <c r="AF50" s="3" t="s">
        <v>765</v>
      </c>
      <c r="AG50" s="3" t="s">
        <v>1139</v>
      </c>
      <c r="AH50" s="3" t="s">
        <v>1140</v>
      </c>
      <c r="AI50" s="3" t="s">
        <v>766</v>
      </c>
    </row>
    <row r="51" spans="1:35" ht="16.5" customHeight="1" x14ac:dyDescent="0.25">
      <c r="A51" s="3" t="s">
        <v>93</v>
      </c>
      <c r="B51" s="3" t="s">
        <v>1278</v>
      </c>
      <c r="C51" s="3" t="s">
        <v>359</v>
      </c>
      <c r="D51" s="3" t="s">
        <v>179</v>
      </c>
      <c r="E51" s="3" t="s">
        <v>17</v>
      </c>
      <c r="F51" s="3">
        <v>2023</v>
      </c>
      <c r="G51" s="3" t="s">
        <v>241</v>
      </c>
      <c r="H51" s="3" t="s">
        <v>14</v>
      </c>
      <c r="I51" s="3" t="s">
        <v>375</v>
      </c>
      <c r="J51" s="3" t="s">
        <v>372</v>
      </c>
      <c r="K51" s="3" t="s">
        <v>11</v>
      </c>
      <c r="L51" s="3" t="s">
        <v>19</v>
      </c>
      <c r="M51" s="3" t="s">
        <v>21</v>
      </c>
      <c r="N51" s="3" t="s">
        <v>449</v>
      </c>
      <c r="O51" s="3" t="s">
        <v>33</v>
      </c>
      <c r="P51" s="3" t="s">
        <v>366</v>
      </c>
      <c r="Q51" s="3" t="s">
        <v>453</v>
      </c>
      <c r="R51" s="3" t="s">
        <v>24</v>
      </c>
      <c r="S51" s="3" t="s">
        <v>31</v>
      </c>
      <c r="T51" s="3">
        <v>11</v>
      </c>
      <c r="U51" s="3" t="s">
        <v>602</v>
      </c>
      <c r="V51" s="3">
        <v>0</v>
      </c>
      <c r="W51" s="3" t="s">
        <v>541</v>
      </c>
      <c r="X51" s="3" t="s">
        <v>717</v>
      </c>
      <c r="Y51" s="3" t="s">
        <v>461</v>
      </c>
      <c r="Z51" s="3" t="s">
        <v>602</v>
      </c>
      <c r="AA51" s="3" t="s">
        <v>456</v>
      </c>
      <c r="AB51" s="3" t="s">
        <v>775</v>
      </c>
      <c r="AC51" s="3" t="s">
        <v>776</v>
      </c>
      <c r="AD51" s="3" t="s">
        <v>774</v>
      </c>
      <c r="AE51" s="3" t="s">
        <v>777</v>
      </c>
      <c r="AF51" s="3" t="s">
        <v>1141</v>
      </c>
      <c r="AG51" s="3" t="s">
        <v>778</v>
      </c>
      <c r="AH51" s="3" t="s">
        <v>779</v>
      </c>
      <c r="AI51" s="3" t="s">
        <v>780</v>
      </c>
    </row>
    <row r="52" spans="1:35" ht="16.5" customHeight="1" x14ac:dyDescent="0.25">
      <c r="A52" s="3" t="s">
        <v>94</v>
      </c>
      <c r="B52" s="3" t="s">
        <v>1279</v>
      </c>
      <c r="C52" s="3" t="s">
        <v>358</v>
      </c>
      <c r="D52" s="3" t="s">
        <v>180</v>
      </c>
      <c r="E52" s="3" t="s">
        <v>314</v>
      </c>
      <c r="F52" s="3">
        <v>2019</v>
      </c>
      <c r="G52" s="3" t="s">
        <v>242</v>
      </c>
      <c r="H52" s="3" t="s">
        <v>13</v>
      </c>
      <c r="I52" s="3" t="s">
        <v>375</v>
      </c>
      <c r="J52" s="3" t="s">
        <v>372</v>
      </c>
      <c r="K52" s="3" t="s">
        <v>11</v>
      </c>
      <c r="L52" s="3" t="s">
        <v>19</v>
      </c>
      <c r="M52" s="3" t="s">
        <v>21</v>
      </c>
      <c r="N52" s="3" t="s">
        <v>449</v>
      </c>
      <c r="O52" s="3" t="s">
        <v>33</v>
      </c>
      <c r="P52" s="3" t="s">
        <v>366</v>
      </c>
      <c r="Q52" s="3" t="s">
        <v>424</v>
      </c>
      <c r="R52" s="3" t="s">
        <v>24</v>
      </c>
      <c r="S52" s="3" t="s">
        <v>27</v>
      </c>
      <c r="T52" s="3" t="s">
        <v>17</v>
      </c>
      <c r="U52" s="3" t="s">
        <v>360</v>
      </c>
      <c r="V52" s="3">
        <v>4</v>
      </c>
      <c r="W52" s="3" t="s">
        <v>17</v>
      </c>
      <c r="X52" s="3" t="s">
        <v>17</v>
      </c>
      <c r="Y52" s="3" t="s">
        <v>461</v>
      </c>
      <c r="Z52" s="3" t="s">
        <v>17</v>
      </c>
      <c r="AA52" s="3" t="s">
        <v>456</v>
      </c>
      <c r="AB52" s="3" t="s">
        <v>782</v>
      </c>
      <c r="AC52" s="3" t="s">
        <v>783</v>
      </c>
      <c r="AD52" s="3" t="s">
        <v>781</v>
      </c>
      <c r="AE52" s="3" t="s">
        <v>784</v>
      </c>
      <c r="AF52" s="3" t="s">
        <v>785</v>
      </c>
      <c r="AG52" s="3" t="s">
        <v>786</v>
      </c>
      <c r="AH52" s="3" t="s">
        <v>787</v>
      </c>
      <c r="AI52" s="3" t="s">
        <v>788</v>
      </c>
    </row>
    <row r="53" spans="1:35" ht="16.5" customHeight="1" x14ac:dyDescent="0.25">
      <c r="A53" s="3" t="s">
        <v>95</v>
      </c>
      <c r="B53" s="3" t="s">
        <v>480</v>
      </c>
      <c r="C53" s="3" t="s">
        <v>359</v>
      </c>
      <c r="D53" s="3" t="s">
        <v>479</v>
      </c>
      <c r="E53" s="3" t="s">
        <v>17</v>
      </c>
      <c r="F53" s="3">
        <v>2015</v>
      </c>
      <c r="G53" s="3" t="s">
        <v>481</v>
      </c>
      <c r="H53" s="3" t="s">
        <v>17</v>
      </c>
      <c r="I53" s="3" t="s">
        <v>17</v>
      </c>
      <c r="J53" s="3" t="s">
        <v>17</v>
      </c>
      <c r="K53" s="3" t="s">
        <v>17</v>
      </c>
      <c r="L53" s="3" t="s">
        <v>19</v>
      </c>
      <c r="M53" s="3" t="s">
        <v>409</v>
      </c>
      <c r="N53" s="3" t="s">
        <v>449</v>
      </c>
      <c r="O53" s="3" t="s">
        <v>34</v>
      </c>
      <c r="P53" s="3" t="s">
        <v>37</v>
      </c>
      <c r="Q53" s="3" t="s">
        <v>374</v>
      </c>
      <c r="R53" s="3" t="s">
        <v>25</v>
      </c>
      <c r="S53" s="3" t="s">
        <v>17</v>
      </c>
      <c r="T53" s="3">
        <v>60</v>
      </c>
      <c r="U53" s="3" t="s">
        <v>360</v>
      </c>
      <c r="V53" s="3" t="s">
        <v>17</v>
      </c>
      <c r="W53" s="3" t="s">
        <v>541</v>
      </c>
      <c r="X53" s="3" t="s">
        <v>1193</v>
      </c>
      <c r="Y53" s="3" t="s">
        <v>459</v>
      </c>
      <c r="Z53" s="3" t="s">
        <v>368</v>
      </c>
      <c r="AA53" s="3" t="s">
        <v>456</v>
      </c>
      <c r="AB53" s="3" t="s">
        <v>515</v>
      </c>
      <c r="AC53" s="3" t="s">
        <v>1195</v>
      </c>
      <c r="AD53" s="3" t="s">
        <v>1194</v>
      </c>
      <c r="AE53" s="3" t="s">
        <v>1196</v>
      </c>
      <c r="AF53" s="3" t="s">
        <v>1197</v>
      </c>
      <c r="AG53" s="3" t="s">
        <v>1198</v>
      </c>
      <c r="AH53" s="3" t="s">
        <v>1199</v>
      </c>
      <c r="AI53" s="3" t="s">
        <v>17</v>
      </c>
    </row>
    <row r="54" spans="1:35" ht="16.5" customHeight="1" x14ac:dyDescent="0.25">
      <c r="A54" s="3" t="s">
        <v>96</v>
      </c>
      <c r="B54" s="3" t="s">
        <v>1280</v>
      </c>
      <c r="C54" s="3" t="s">
        <v>359</v>
      </c>
      <c r="D54" s="3" t="s">
        <v>181</v>
      </c>
      <c r="E54" s="3" t="s">
        <v>315</v>
      </c>
      <c r="F54" s="3">
        <v>2016</v>
      </c>
      <c r="G54" s="3" t="s">
        <v>234</v>
      </c>
      <c r="H54" s="3" t="s">
        <v>14</v>
      </c>
      <c r="I54" s="3" t="s">
        <v>375</v>
      </c>
      <c r="J54" s="3" t="s">
        <v>372</v>
      </c>
      <c r="K54" s="3" t="s">
        <v>11</v>
      </c>
      <c r="L54" s="3" t="s">
        <v>19</v>
      </c>
      <c r="M54" s="3" t="s">
        <v>23</v>
      </c>
      <c r="N54" s="3" t="s">
        <v>449</v>
      </c>
      <c r="O54" s="3" t="s">
        <v>33</v>
      </c>
      <c r="P54" s="3" t="s">
        <v>36</v>
      </c>
      <c r="Q54" s="3" t="s">
        <v>384</v>
      </c>
      <c r="R54" s="3" t="s">
        <v>24</v>
      </c>
      <c r="S54" s="3" t="s">
        <v>31</v>
      </c>
      <c r="T54" s="3">
        <v>48</v>
      </c>
      <c r="U54" s="3" t="s">
        <v>602</v>
      </c>
      <c r="V54" s="3">
        <v>2</v>
      </c>
      <c r="W54" s="3" t="s">
        <v>541</v>
      </c>
      <c r="X54" s="3" t="s">
        <v>717</v>
      </c>
      <c r="Y54" s="3" t="s">
        <v>452</v>
      </c>
      <c r="Z54" s="3" t="s">
        <v>602</v>
      </c>
      <c r="AA54" s="3" t="s">
        <v>456</v>
      </c>
      <c r="AB54" s="3" t="s">
        <v>533</v>
      </c>
      <c r="AC54" s="3" t="s">
        <v>790</v>
      </c>
      <c r="AD54" s="3" t="s">
        <v>789</v>
      </c>
      <c r="AE54" s="3" t="s">
        <v>791</v>
      </c>
      <c r="AF54" s="3" t="s">
        <v>792</v>
      </c>
      <c r="AG54" s="3" t="s">
        <v>1142</v>
      </c>
      <c r="AH54" s="3" t="s">
        <v>1143</v>
      </c>
      <c r="AI54" s="3" t="s">
        <v>1144</v>
      </c>
    </row>
    <row r="55" spans="1:35" ht="16.5" customHeight="1" x14ac:dyDescent="0.25">
      <c r="A55" s="3" t="s">
        <v>98</v>
      </c>
      <c r="B55" s="3" t="s">
        <v>330</v>
      </c>
      <c r="C55" s="3" t="s">
        <v>359</v>
      </c>
      <c r="D55" s="3" t="s">
        <v>183</v>
      </c>
      <c r="E55" s="3" t="s">
        <v>17</v>
      </c>
      <c r="F55" s="3">
        <v>2018</v>
      </c>
      <c r="G55" s="3" t="s">
        <v>243</v>
      </c>
      <c r="H55" s="3" t="s">
        <v>13</v>
      </c>
      <c r="I55" s="3" t="s">
        <v>374</v>
      </c>
      <c r="J55" s="3" t="s">
        <v>372</v>
      </c>
      <c r="K55" s="3" t="s">
        <v>399</v>
      </c>
      <c r="L55" s="3" t="s">
        <v>19</v>
      </c>
      <c r="M55" s="3" t="s">
        <v>23</v>
      </c>
      <c r="N55" s="3" t="s">
        <v>449</v>
      </c>
      <c r="O55" s="3" t="s">
        <v>33</v>
      </c>
      <c r="P55" s="3" t="s">
        <v>36</v>
      </c>
      <c r="Q55" s="3" t="s">
        <v>374</v>
      </c>
      <c r="R55" s="3" t="s">
        <v>24</v>
      </c>
      <c r="S55" s="3" t="s">
        <v>30</v>
      </c>
      <c r="T55" s="3">
        <v>16</v>
      </c>
      <c r="U55" s="3" t="s">
        <v>360</v>
      </c>
      <c r="V55" s="3">
        <v>2</v>
      </c>
      <c r="W55" s="3" t="s">
        <v>541</v>
      </c>
      <c r="X55" s="3" t="s">
        <v>717</v>
      </c>
      <c r="Y55" s="3" t="s">
        <v>17</v>
      </c>
      <c r="Z55" s="3" t="s">
        <v>17</v>
      </c>
      <c r="AA55" s="3" t="s">
        <v>31</v>
      </c>
      <c r="AB55" s="3" t="s">
        <v>794</v>
      </c>
      <c r="AC55" s="3" t="s">
        <v>795</v>
      </c>
      <c r="AD55" s="3" t="s">
        <v>793</v>
      </c>
      <c r="AE55" s="3" t="s">
        <v>799</v>
      </c>
      <c r="AF55" s="3" t="s">
        <v>800</v>
      </c>
      <c r="AG55" s="3" t="s">
        <v>801</v>
      </c>
      <c r="AH55" s="3" t="s">
        <v>1146</v>
      </c>
      <c r="AI55" s="3" t="s">
        <v>802</v>
      </c>
    </row>
    <row r="56" spans="1:35" ht="16.5" customHeight="1" x14ac:dyDescent="0.25">
      <c r="A56" s="3" t="s">
        <v>97</v>
      </c>
      <c r="B56" s="3" t="s">
        <v>330</v>
      </c>
      <c r="C56" s="3" t="s">
        <v>359</v>
      </c>
      <c r="D56" s="3" t="s">
        <v>182</v>
      </c>
      <c r="E56" s="3" t="s">
        <v>17</v>
      </c>
      <c r="F56" s="3">
        <v>2018</v>
      </c>
      <c r="G56" s="3" t="s">
        <v>240</v>
      </c>
      <c r="H56" s="3" t="s">
        <v>14</v>
      </c>
      <c r="I56" s="3" t="s">
        <v>374</v>
      </c>
      <c r="J56" s="3" t="s">
        <v>372</v>
      </c>
      <c r="K56" s="3" t="s">
        <v>11</v>
      </c>
      <c r="L56" s="3" t="s">
        <v>19</v>
      </c>
      <c r="M56" s="3" t="s">
        <v>23</v>
      </c>
      <c r="N56" s="3" t="s">
        <v>449</v>
      </c>
      <c r="O56" s="3" t="s">
        <v>33</v>
      </c>
      <c r="P56" s="3" t="s">
        <v>36</v>
      </c>
      <c r="Q56" s="3" t="s">
        <v>374</v>
      </c>
      <c r="R56" s="3" t="s">
        <v>24</v>
      </c>
      <c r="S56" s="3" t="s">
        <v>30</v>
      </c>
      <c r="T56" s="3">
        <v>1</v>
      </c>
      <c r="U56" s="3" t="s">
        <v>360</v>
      </c>
      <c r="V56" s="3">
        <v>2</v>
      </c>
      <c r="W56" s="3" t="s">
        <v>541</v>
      </c>
      <c r="X56" s="3" t="s">
        <v>717</v>
      </c>
      <c r="Y56" s="3" t="s">
        <v>17</v>
      </c>
      <c r="Z56" s="3" t="s">
        <v>368</v>
      </c>
      <c r="AA56" s="3" t="s">
        <v>31</v>
      </c>
      <c r="AB56" s="3" t="s">
        <v>794</v>
      </c>
      <c r="AC56" s="3" t="s">
        <v>795</v>
      </c>
      <c r="AD56" s="3" t="s">
        <v>793</v>
      </c>
      <c r="AE56" s="3" t="s">
        <v>796</v>
      </c>
      <c r="AF56" s="3" t="s">
        <v>17</v>
      </c>
      <c r="AG56" s="3" t="s">
        <v>797</v>
      </c>
      <c r="AH56" s="3" t="s">
        <v>1145</v>
      </c>
      <c r="AI56" s="3" t="s">
        <v>798</v>
      </c>
    </row>
    <row r="57" spans="1:35" ht="16.5" customHeight="1" x14ac:dyDescent="0.25">
      <c r="A57" s="3" t="s">
        <v>99</v>
      </c>
      <c r="B57" s="3" t="s">
        <v>1281</v>
      </c>
      <c r="C57" s="3" t="s">
        <v>359</v>
      </c>
      <c r="D57" s="3" t="s">
        <v>184</v>
      </c>
      <c r="E57" s="3" t="s">
        <v>316</v>
      </c>
      <c r="F57" s="3">
        <v>2021</v>
      </c>
      <c r="G57" s="3" t="s">
        <v>244</v>
      </c>
      <c r="H57" s="3" t="s">
        <v>13</v>
      </c>
      <c r="I57" s="3" t="s">
        <v>392</v>
      </c>
      <c r="J57" s="3" t="s">
        <v>372</v>
      </c>
      <c r="K57" s="3" t="s">
        <v>11</v>
      </c>
      <c r="L57" s="3" t="s">
        <v>19</v>
      </c>
      <c r="M57" s="3" t="s">
        <v>23</v>
      </c>
      <c r="N57" s="3" t="s">
        <v>449</v>
      </c>
      <c r="O57" s="3" t="s">
        <v>33</v>
      </c>
      <c r="P57" s="3" t="s">
        <v>36</v>
      </c>
      <c r="Q57" s="3" t="s">
        <v>534</v>
      </c>
      <c r="R57" s="3" t="s">
        <v>24</v>
      </c>
      <c r="S57" s="3" t="s">
        <v>29</v>
      </c>
      <c r="T57" s="3">
        <v>56</v>
      </c>
      <c r="U57" s="3" t="s">
        <v>602</v>
      </c>
      <c r="V57" s="3">
        <v>3</v>
      </c>
      <c r="W57" s="3" t="s">
        <v>541</v>
      </c>
      <c r="X57" s="3" t="s">
        <v>717</v>
      </c>
      <c r="Y57" s="3" t="s">
        <v>452</v>
      </c>
      <c r="Z57" s="3" t="s">
        <v>602</v>
      </c>
      <c r="AA57" s="3" t="s">
        <v>17</v>
      </c>
      <c r="AB57" s="3" t="s">
        <v>782</v>
      </c>
      <c r="AC57" s="3" t="s">
        <v>795</v>
      </c>
      <c r="AD57" s="3" t="s">
        <v>803</v>
      </c>
      <c r="AE57" s="3" t="s">
        <v>804</v>
      </c>
      <c r="AF57" s="3" t="s">
        <v>805</v>
      </c>
      <c r="AG57" s="3" t="s">
        <v>806</v>
      </c>
      <c r="AH57" s="3" t="s">
        <v>807</v>
      </c>
      <c r="AI57" s="3" t="s">
        <v>808</v>
      </c>
    </row>
    <row r="58" spans="1:35" ht="16.5" customHeight="1" x14ac:dyDescent="0.25">
      <c r="A58" s="3" t="s">
        <v>100</v>
      </c>
      <c r="B58" s="3" t="s">
        <v>1320</v>
      </c>
      <c r="C58" s="3" t="s">
        <v>358</v>
      </c>
      <c r="D58" s="3" t="s">
        <v>156</v>
      </c>
      <c r="E58" s="3" t="s">
        <v>277</v>
      </c>
      <c r="F58" s="3">
        <v>2023</v>
      </c>
      <c r="G58" s="3" t="s">
        <v>219</v>
      </c>
      <c r="H58" s="3" t="s">
        <v>15</v>
      </c>
      <c r="I58" s="3" t="s">
        <v>381</v>
      </c>
      <c r="J58" s="3" t="s">
        <v>372</v>
      </c>
      <c r="K58" s="3" t="s">
        <v>11</v>
      </c>
      <c r="L58" s="3" t="s">
        <v>20</v>
      </c>
      <c r="M58" s="3" t="s">
        <v>21</v>
      </c>
      <c r="N58" s="3" t="s">
        <v>449</v>
      </c>
      <c r="O58" s="3" t="s">
        <v>34</v>
      </c>
      <c r="P58" s="3" t="s">
        <v>362</v>
      </c>
      <c r="Q58" s="3" t="s">
        <v>381</v>
      </c>
      <c r="R58" s="3" t="s">
        <v>24</v>
      </c>
      <c r="S58" s="3" t="s">
        <v>27</v>
      </c>
      <c r="T58" s="3">
        <v>144</v>
      </c>
      <c r="U58" s="3" t="s">
        <v>602</v>
      </c>
      <c r="V58" s="3">
        <v>0</v>
      </c>
      <c r="W58" s="3" t="s">
        <v>541</v>
      </c>
      <c r="X58" s="3" t="s">
        <v>597</v>
      </c>
      <c r="Y58" s="3" t="s">
        <v>17</v>
      </c>
      <c r="Z58" s="3" t="s">
        <v>17</v>
      </c>
      <c r="AA58" s="3" t="s">
        <v>17</v>
      </c>
      <c r="AB58" s="3" t="s">
        <v>455</v>
      </c>
      <c r="AC58" s="3" t="s">
        <v>17</v>
      </c>
      <c r="AD58" s="3" t="s">
        <v>598</v>
      </c>
      <c r="AE58" s="3" t="s">
        <v>613</v>
      </c>
      <c r="AF58" s="3" t="s">
        <v>17</v>
      </c>
      <c r="AG58" s="3" t="s">
        <v>599</v>
      </c>
      <c r="AH58" s="3" t="s">
        <v>600</v>
      </c>
      <c r="AI58" s="3" t="s">
        <v>601</v>
      </c>
    </row>
    <row r="59" spans="1:35" ht="16.5" customHeight="1" x14ac:dyDescent="0.25">
      <c r="A59" s="3" t="s">
        <v>101</v>
      </c>
      <c r="B59" s="3" t="s">
        <v>1282</v>
      </c>
      <c r="C59" s="3" t="s">
        <v>358</v>
      </c>
      <c r="D59" s="3" t="s">
        <v>526</v>
      </c>
      <c r="E59" s="3" t="s">
        <v>527</v>
      </c>
      <c r="F59" s="3">
        <v>2018</v>
      </c>
      <c r="G59" s="3" t="s">
        <v>529</v>
      </c>
      <c r="H59" s="3" t="s">
        <v>13</v>
      </c>
      <c r="I59" s="3" t="s">
        <v>375</v>
      </c>
      <c r="J59" s="3" t="s">
        <v>372</v>
      </c>
      <c r="K59" s="3" t="s">
        <v>386</v>
      </c>
      <c r="L59" s="3" t="s">
        <v>19</v>
      </c>
      <c r="M59" s="3" t="s">
        <v>409</v>
      </c>
      <c r="N59" s="3" t="s">
        <v>449</v>
      </c>
      <c r="O59" s="3" t="s">
        <v>34</v>
      </c>
      <c r="P59" s="3" t="s">
        <v>365</v>
      </c>
      <c r="Q59" s="3" t="s">
        <v>424</v>
      </c>
      <c r="R59" s="3" t="s">
        <v>25</v>
      </c>
      <c r="S59" s="3" t="s">
        <v>27</v>
      </c>
      <c r="T59" s="3">
        <v>753</v>
      </c>
      <c r="U59" s="3" t="s">
        <v>17</v>
      </c>
      <c r="V59" s="3" t="s">
        <v>17</v>
      </c>
      <c r="W59" s="3" t="s">
        <v>17</v>
      </c>
      <c r="X59" s="3" t="s">
        <v>17</v>
      </c>
      <c r="Y59" s="3" t="s">
        <v>17</v>
      </c>
      <c r="Z59" s="3" t="s">
        <v>17</v>
      </c>
      <c r="AA59" s="3" t="s">
        <v>17</v>
      </c>
      <c r="AB59" s="3" t="s">
        <v>17</v>
      </c>
      <c r="AC59" s="3" t="s">
        <v>17</v>
      </c>
      <c r="AD59" s="3" t="s">
        <v>17</v>
      </c>
      <c r="AE59" s="3" t="s">
        <v>1201</v>
      </c>
      <c r="AF59" s="3" t="s">
        <v>1200</v>
      </c>
      <c r="AG59" s="3" t="s">
        <v>1202</v>
      </c>
      <c r="AH59" s="3" t="s">
        <v>1203</v>
      </c>
      <c r="AI59" s="3" t="s">
        <v>1204</v>
      </c>
    </row>
    <row r="60" spans="1:35" ht="16.5" customHeight="1" x14ac:dyDescent="0.25">
      <c r="A60" s="3" t="s">
        <v>102</v>
      </c>
      <c r="B60" s="3" t="s">
        <v>1283</v>
      </c>
      <c r="C60" s="3" t="s">
        <v>358</v>
      </c>
      <c r="D60" s="3" t="s">
        <v>185</v>
      </c>
      <c r="E60" s="3" t="s">
        <v>317</v>
      </c>
      <c r="F60" s="3">
        <v>2018</v>
      </c>
      <c r="G60" s="3" t="s">
        <v>245</v>
      </c>
      <c r="H60" s="3" t="s">
        <v>17</v>
      </c>
      <c r="I60" s="3" t="s">
        <v>17</v>
      </c>
      <c r="J60" s="3" t="s">
        <v>17</v>
      </c>
      <c r="K60" s="3" t="s">
        <v>17</v>
      </c>
      <c r="L60" s="3" t="s">
        <v>19</v>
      </c>
      <c r="M60" s="3" t="s">
        <v>23</v>
      </c>
      <c r="N60" s="3" t="s">
        <v>449</v>
      </c>
      <c r="O60" s="3" t="s">
        <v>35</v>
      </c>
      <c r="P60" s="3" t="s">
        <v>363</v>
      </c>
      <c r="Q60" s="3" t="s">
        <v>374</v>
      </c>
      <c r="R60" s="3" t="s">
        <v>24</v>
      </c>
      <c r="S60" s="3" t="s">
        <v>28</v>
      </c>
      <c r="T60" s="3">
        <v>55</v>
      </c>
      <c r="U60" s="3" t="s">
        <v>602</v>
      </c>
      <c r="V60" s="3">
        <v>3</v>
      </c>
      <c r="W60" s="3" t="s">
        <v>541</v>
      </c>
      <c r="X60" s="3" t="s">
        <v>717</v>
      </c>
      <c r="Y60" s="3" t="s">
        <v>461</v>
      </c>
      <c r="Z60" s="3" t="s">
        <v>602</v>
      </c>
      <c r="AA60" s="3" t="s">
        <v>17</v>
      </c>
      <c r="AB60" s="3" t="s">
        <v>809</v>
      </c>
      <c r="AC60" s="3" t="s">
        <v>790</v>
      </c>
      <c r="AD60" s="3" t="s">
        <v>1147</v>
      </c>
      <c r="AE60" s="3" t="s">
        <v>791</v>
      </c>
      <c r="AF60" s="3" t="s">
        <v>810</v>
      </c>
      <c r="AG60" s="3" t="s">
        <v>1148</v>
      </c>
      <c r="AH60" s="3" t="s">
        <v>536</v>
      </c>
      <c r="AI60" s="3" t="s">
        <v>810</v>
      </c>
    </row>
    <row r="61" spans="1:35" ht="16.5" customHeight="1" x14ac:dyDescent="0.25">
      <c r="A61" s="3" t="s">
        <v>103</v>
      </c>
      <c r="B61" s="3" t="s">
        <v>1284</v>
      </c>
      <c r="C61" s="3" t="s">
        <v>359</v>
      </c>
      <c r="D61" s="3" t="s">
        <v>186</v>
      </c>
      <c r="E61" s="3" t="s">
        <v>318</v>
      </c>
      <c r="F61" s="3">
        <v>2017</v>
      </c>
      <c r="G61" s="3" t="s">
        <v>222</v>
      </c>
      <c r="H61" s="3" t="s">
        <v>15</v>
      </c>
      <c r="I61" s="3" t="s">
        <v>374</v>
      </c>
      <c r="J61" s="3" t="s">
        <v>378</v>
      </c>
      <c r="K61" s="3" t="s">
        <v>380</v>
      </c>
      <c r="L61" s="3" t="s">
        <v>19</v>
      </c>
      <c r="M61" s="3" t="s">
        <v>23</v>
      </c>
      <c r="N61" s="3" t="s">
        <v>449</v>
      </c>
      <c r="O61" s="3" t="s">
        <v>35</v>
      </c>
      <c r="P61" s="3" t="s">
        <v>363</v>
      </c>
      <c r="Q61" s="3" t="s">
        <v>17</v>
      </c>
      <c r="R61" s="3" t="s">
        <v>25</v>
      </c>
      <c r="S61" s="3" t="s">
        <v>31</v>
      </c>
      <c r="T61" s="3">
        <v>21</v>
      </c>
      <c r="U61" s="3" t="s">
        <v>360</v>
      </c>
      <c r="V61" s="3">
        <v>0</v>
      </c>
      <c r="W61" s="3" t="s">
        <v>17</v>
      </c>
      <c r="X61" s="3" t="s">
        <v>17</v>
      </c>
      <c r="Y61" s="3" t="s">
        <v>17</v>
      </c>
      <c r="Z61" s="3" t="s">
        <v>602</v>
      </c>
      <c r="AA61" s="3" t="s">
        <v>456</v>
      </c>
      <c r="AB61" s="3" t="s">
        <v>17</v>
      </c>
      <c r="AC61" s="3" t="s">
        <v>535</v>
      </c>
      <c r="AD61" s="3" t="s">
        <v>17</v>
      </c>
      <c r="AE61" s="3" t="s">
        <v>536</v>
      </c>
      <c r="AF61" s="3" t="s">
        <v>17</v>
      </c>
      <c r="AG61" s="3" t="s">
        <v>811</v>
      </c>
      <c r="AH61" s="3" t="s">
        <v>812</v>
      </c>
      <c r="AI61" s="3" t="s">
        <v>813</v>
      </c>
    </row>
    <row r="62" spans="1:35" ht="16.5" customHeight="1" x14ac:dyDescent="0.25">
      <c r="A62" s="3" t="s">
        <v>104</v>
      </c>
      <c r="B62" s="3" t="s">
        <v>493</v>
      </c>
      <c r="C62" s="3" t="s">
        <v>358</v>
      </c>
      <c r="D62" s="3" t="s">
        <v>477</v>
      </c>
      <c r="E62" s="3" t="s">
        <v>17</v>
      </c>
      <c r="F62" s="3">
        <v>2018</v>
      </c>
      <c r="G62" s="3" t="s">
        <v>478</v>
      </c>
      <c r="H62" s="3" t="s">
        <v>17</v>
      </c>
      <c r="I62" s="3" t="s">
        <v>17</v>
      </c>
      <c r="J62" s="3" t="s">
        <v>17</v>
      </c>
      <c r="K62" s="3" t="s">
        <v>17</v>
      </c>
      <c r="L62" s="3" t="s">
        <v>19</v>
      </c>
      <c r="M62" s="3" t="s">
        <v>409</v>
      </c>
      <c r="N62" s="3" t="s">
        <v>414</v>
      </c>
      <c r="O62" s="3" t="s">
        <v>17</v>
      </c>
      <c r="P62" s="3" t="s">
        <v>17</v>
      </c>
      <c r="Q62" s="3" t="s">
        <v>374</v>
      </c>
      <c r="R62" s="3" t="s">
        <v>24</v>
      </c>
      <c r="S62" s="3" t="s">
        <v>30</v>
      </c>
      <c r="T62" s="3" t="s">
        <v>17</v>
      </c>
      <c r="U62" s="3" t="s">
        <v>361</v>
      </c>
      <c r="V62" s="3" t="s">
        <v>17</v>
      </c>
      <c r="W62" s="3" t="s">
        <v>541</v>
      </c>
      <c r="X62" s="3" t="s">
        <v>564</v>
      </c>
      <c r="Y62" s="3" t="s">
        <v>17</v>
      </c>
      <c r="Z62" s="3" t="s">
        <v>17</v>
      </c>
      <c r="AA62" s="3" t="s">
        <v>17</v>
      </c>
      <c r="AB62" s="3" t="s">
        <v>515</v>
      </c>
      <c r="AC62" s="3" t="s">
        <v>1206</v>
      </c>
      <c r="AD62" s="3" t="s">
        <v>1205</v>
      </c>
      <c r="AE62" s="3" t="s">
        <v>1207</v>
      </c>
      <c r="AF62" s="3" t="s">
        <v>1208</v>
      </c>
      <c r="AG62" s="3" t="s">
        <v>1209</v>
      </c>
      <c r="AH62" s="3" t="s">
        <v>1210</v>
      </c>
      <c r="AI62" s="3" t="s">
        <v>17</v>
      </c>
    </row>
    <row r="63" spans="1:35" ht="16.5" customHeight="1" x14ac:dyDescent="0.25">
      <c r="A63" s="3" t="s">
        <v>105</v>
      </c>
      <c r="B63" s="3" t="s">
        <v>319</v>
      </c>
      <c r="C63" s="3" t="s">
        <v>359</v>
      </c>
      <c r="D63" s="3" t="s">
        <v>187</v>
      </c>
      <c r="E63" s="3" t="s">
        <v>17</v>
      </c>
      <c r="F63" s="3">
        <v>2020</v>
      </c>
      <c r="G63" s="3" t="s">
        <v>247</v>
      </c>
      <c r="H63" s="3" t="s">
        <v>13</v>
      </c>
      <c r="I63" s="3" t="s">
        <v>375</v>
      </c>
      <c r="J63" s="3" t="s">
        <v>372</v>
      </c>
      <c r="K63" s="3" t="s">
        <v>11</v>
      </c>
      <c r="L63" s="3" t="s">
        <v>19</v>
      </c>
      <c r="M63" s="3" t="s">
        <v>21</v>
      </c>
      <c r="N63" s="3" t="s">
        <v>356</v>
      </c>
      <c r="O63" s="3" t="s">
        <v>17</v>
      </c>
      <c r="P63" s="3" t="s">
        <v>17</v>
      </c>
      <c r="Q63" s="3" t="s">
        <v>17</v>
      </c>
      <c r="R63" s="3" t="s">
        <v>24</v>
      </c>
      <c r="S63" s="3" t="s">
        <v>28</v>
      </c>
      <c r="T63" s="3">
        <v>94</v>
      </c>
      <c r="U63" s="3" t="s">
        <v>602</v>
      </c>
      <c r="V63" s="3">
        <v>2</v>
      </c>
      <c r="W63" s="3" t="s">
        <v>541</v>
      </c>
      <c r="X63" s="3" t="s">
        <v>822</v>
      </c>
      <c r="Y63" s="3" t="s">
        <v>461</v>
      </c>
      <c r="Z63" s="3" t="s">
        <v>602</v>
      </c>
      <c r="AA63" s="3" t="s">
        <v>456</v>
      </c>
      <c r="AB63" s="3" t="s">
        <v>11</v>
      </c>
      <c r="AC63" s="3" t="s">
        <v>790</v>
      </c>
      <c r="AD63" s="3" t="s">
        <v>1168</v>
      </c>
      <c r="AE63" s="3" t="s">
        <v>819</v>
      </c>
      <c r="AF63" s="3" t="s">
        <v>820</v>
      </c>
      <c r="AG63" s="3" t="s">
        <v>821</v>
      </c>
      <c r="AH63" s="3" t="s">
        <v>823</v>
      </c>
      <c r="AI63" s="3" t="s">
        <v>824</v>
      </c>
    </row>
    <row r="64" spans="1:35" ht="16.5" customHeight="1" x14ac:dyDescent="0.25">
      <c r="A64" s="3" t="s">
        <v>106</v>
      </c>
      <c r="B64" s="3" t="s">
        <v>1285</v>
      </c>
      <c r="C64" s="3" t="s">
        <v>358</v>
      </c>
      <c r="D64" s="3" t="s">
        <v>188</v>
      </c>
      <c r="E64" s="3" t="s">
        <v>320</v>
      </c>
      <c r="F64" s="3">
        <v>2019</v>
      </c>
      <c r="G64" s="3" t="s">
        <v>248</v>
      </c>
      <c r="H64" s="3" t="s">
        <v>14</v>
      </c>
      <c r="I64" s="3" t="s">
        <v>385</v>
      </c>
      <c r="J64" s="3" t="s">
        <v>372</v>
      </c>
      <c r="K64" s="3" t="s">
        <v>11</v>
      </c>
      <c r="L64" s="3" t="s">
        <v>19</v>
      </c>
      <c r="M64" s="3" t="s">
        <v>21</v>
      </c>
      <c r="N64" s="3" t="s">
        <v>355</v>
      </c>
      <c r="O64" s="3" t="s">
        <v>17</v>
      </c>
      <c r="P64" s="3" t="s">
        <v>466</v>
      </c>
      <c r="Q64" s="3" t="s">
        <v>17</v>
      </c>
      <c r="R64" s="3" t="s">
        <v>24</v>
      </c>
      <c r="S64" s="3" t="s">
        <v>31</v>
      </c>
      <c r="T64" s="3" t="s">
        <v>17</v>
      </c>
      <c r="U64" s="3" t="s">
        <v>602</v>
      </c>
      <c r="V64" s="3">
        <v>2</v>
      </c>
      <c r="W64" s="3" t="s">
        <v>541</v>
      </c>
      <c r="X64" s="3" t="s">
        <v>564</v>
      </c>
      <c r="Y64" s="3" t="s">
        <v>461</v>
      </c>
      <c r="Z64" s="3" t="s">
        <v>602</v>
      </c>
      <c r="AA64" s="3" t="s">
        <v>456</v>
      </c>
      <c r="AB64" s="3" t="s">
        <v>510</v>
      </c>
      <c r="AC64" s="3" t="s">
        <v>790</v>
      </c>
      <c r="AD64" s="3" t="s">
        <v>825</v>
      </c>
      <c r="AE64" s="3" t="s">
        <v>826</v>
      </c>
      <c r="AF64" s="3" t="s">
        <v>827</v>
      </c>
      <c r="AG64" s="3" t="s">
        <v>828</v>
      </c>
      <c r="AH64" s="3" t="s">
        <v>829</v>
      </c>
      <c r="AI64" s="3" t="s">
        <v>830</v>
      </c>
    </row>
    <row r="65" spans="1:35" ht="16.5" customHeight="1" x14ac:dyDescent="0.25">
      <c r="A65" s="3" t="s">
        <v>107</v>
      </c>
      <c r="B65" s="3" t="s">
        <v>1286</v>
      </c>
      <c r="C65" s="3" t="s">
        <v>359</v>
      </c>
      <c r="D65" s="3" t="s">
        <v>189</v>
      </c>
      <c r="E65" s="3" t="s">
        <v>321</v>
      </c>
      <c r="F65" s="3">
        <v>2017</v>
      </c>
      <c r="G65" s="3" t="s">
        <v>239</v>
      </c>
      <c r="H65" s="3" t="s">
        <v>13</v>
      </c>
      <c r="I65" s="3" t="s">
        <v>374</v>
      </c>
      <c r="J65" s="3" t="s">
        <v>372</v>
      </c>
      <c r="K65" s="3" t="s">
        <v>11</v>
      </c>
      <c r="L65" s="3" t="s">
        <v>19</v>
      </c>
      <c r="M65" s="3" t="s">
        <v>23</v>
      </c>
      <c r="N65" s="3" t="s">
        <v>449</v>
      </c>
      <c r="O65" s="3" t="s">
        <v>35</v>
      </c>
      <c r="P65" s="3" t="s">
        <v>363</v>
      </c>
      <c r="Q65" s="3" t="s">
        <v>388</v>
      </c>
      <c r="R65" s="3" t="s">
        <v>24</v>
      </c>
      <c r="S65" s="3" t="s">
        <v>30</v>
      </c>
      <c r="T65" s="3">
        <v>56</v>
      </c>
      <c r="U65" s="3" t="s">
        <v>360</v>
      </c>
      <c r="V65" s="3">
        <v>0</v>
      </c>
      <c r="W65" s="3" t="s">
        <v>541</v>
      </c>
      <c r="X65" s="3" t="s">
        <v>550</v>
      </c>
      <c r="Y65" s="3" t="s">
        <v>452</v>
      </c>
      <c r="Z65" s="3" t="s">
        <v>602</v>
      </c>
      <c r="AA65" s="3" t="s">
        <v>456</v>
      </c>
      <c r="AB65" s="3" t="s">
        <v>216</v>
      </c>
      <c r="AC65" s="3" t="s">
        <v>831</v>
      </c>
      <c r="AD65" s="3" t="s">
        <v>832</v>
      </c>
      <c r="AE65" s="3" t="s">
        <v>539</v>
      </c>
      <c r="AF65" s="3" t="s">
        <v>17</v>
      </c>
      <c r="AG65" s="3" t="s">
        <v>833</v>
      </c>
      <c r="AH65" s="3" t="s">
        <v>834</v>
      </c>
      <c r="AI65" s="3" t="s">
        <v>835</v>
      </c>
    </row>
    <row r="66" spans="1:35" ht="16.5" customHeight="1" x14ac:dyDescent="0.25">
      <c r="A66" s="3" t="s">
        <v>108</v>
      </c>
      <c r="B66" s="3" t="s">
        <v>1287</v>
      </c>
      <c r="C66" s="3" t="s">
        <v>359</v>
      </c>
      <c r="D66" s="3" t="s">
        <v>190</v>
      </c>
      <c r="E66" s="3" t="s">
        <v>322</v>
      </c>
      <c r="F66" s="3">
        <v>2016</v>
      </c>
      <c r="G66" s="3" t="s">
        <v>404</v>
      </c>
      <c r="H66" s="3" t="s">
        <v>13</v>
      </c>
      <c r="I66" s="3" t="s">
        <v>387</v>
      </c>
      <c r="J66" s="3" t="s">
        <v>372</v>
      </c>
      <c r="K66" s="3" t="s">
        <v>11</v>
      </c>
      <c r="L66" s="3" t="s">
        <v>19</v>
      </c>
      <c r="M66" s="3" t="s">
        <v>23</v>
      </c>
      <c r="N66" s="3" t="s">
        <v>355</v>
      </c>
      <c r="O66" s="3" t="s">
        <v>17</v>
      </c>
      <c r="P66" s="3" t="s">
        <v>466</v>
      </c>
      <c r="Q66" s="3" t="s">
        <v>17</v>
      </c>
      <c r="R66" s="3" t="s">
        <v>602</v>
      </c>
      <c r="S66" s="3" t="s">
        <v>31</v>
      </c>
      <c r="T66" s="3" t="s">
        <v>17</v>
      </c>
      <c r="U66" s="3" t="s">
        <v>602</v>
      </c>
      <c r="V66" s="3" t="s">
        <v>17</v>
      </c>
      <c r="W66" s="3" t="s">
        <v>541</v>
      </c>
      <c r="X66" s="3" t="s">
        <v>836</v>
      </c>
      <c r="Y66" s="3" t="s">
        <v>17</v>
      </c>
      <c r="Z66" s="3" t="s">
        <v>602</v>
      </c>
      <c r="AA66" s="3" t="s">
        <v>31</v>
      </c>
      <c r="AB66" s="3" t="s">
        <v>838</v>
      </c>
      <c r="AC66" s="3" t="s">
        <v>839</v>
      </c>
      <c r="AD66" s="3" t="s">
        <v>837</v>
      </c>
      <c r="AE66" s="3" t="s">
        <v>840</v>
      </c>
      <c r="AF66" s="3" t="s">
        <v>841</v>
      </c>
      <c r="AG66" s="3" t="s">
        <v>842</v>
      </c>
      <c r="AH66" s="3" t="s">
        <v>843</v>
      </c>
      <c r="AI66" s="3" t="s">
        <v>844</v>
      </c>
    </row>
    <row r="67" spans="1:35" ht="16.5" customHeight="1" x14ac:dyDescent="0.25">
      <c r="A67" s="3" t="s">
        <v>109</v>
      </c>
      <c r="B67" s="3" t="s">
        <v>474</v>
      </c>
      <c r="C67" s="3" t="s">
        <v>359</v>
      </c>
      <c r="D67" s="3" t="s">
        <v>475</v>
      </c>
      <c r="E67" s="3" t="s">
        <v>17</v>
      </c>
      <c r="F67" s="3">
        <v>2016</v>
      </c>
      <c r="G67" s="3" t="s">
        <v>476</v>
      </c>
      <c r="H67" s="3" t="s">
        <v>15</v>
      </c>
      <c r="I67" s="3" t="s">
        <v>374</v>
      </c>
      <c r="J67" s="3" t="s">
        <v>376</v>
      </c>
      <c r="K67" s="3" t="s">
        <v>1039</v>
      </c>
      <c r="L67" s="3" t="s">
        <v>19</v>
      </c>
      <c r="M67" s="3" t="s">
        <v>409</v>
      </c>
      <c r="N67" s="3" t="s">
        <v>356</v>
      </c>
      <c r="O67" s="3" t="s">
        <v>17</v>
      </c>
      <c r="P67" s="3" t="s">
        <v>17</v>
      </c>
      <c r="Q67" s="3" t="s">
        <v>17</v>
      </c>
      <c r="R67" s="3" t="s">
        <v>17</v>
      </c>
      <c r="S67" s="3" t="s">
        <v>17</v>
      </c>
      <c r="T67" s="3" t="s">
        <v>17</v>
      </c>
      <c r="U67" s="3" t="s">
        <v>17</v>
      </c>
      <c r="V67" s="3" t="s">
        <v>17</v>
      </c>
      <c r="W67" s="3" t="s">
        <v>17</v>
      </c>
      <c r="X67" s="3" t="s">
        <v>17</v>
      </c>
      <c r="Y67" s="3" t="s">
        <v>17</v>
      </c>
      <c r="Z67" s="3" t="s">
        <v>17</v>
      </c>
      <c r="AA67" s="3" t="s">
        <v>17</v>
      </c>
      <c r="AB67" s="3" t="s">
        <v>17</v>
      </c>
      <c r="AC67" s="3" t="s">
        <v>17</v>
      </c>
      <c r="AD67" s="3" t="s">
        <v>17</v>
      </c>
      <c r="AE67" s="3" t="s">
        <v>17</v>
      </c>
      <c r="AF67" s="3" t="s">
        <v>1212</v>
      </c>
      <c r="AG67" s="3" t="s">
        <v>1211</v>
      </c>
      <c r="AH67" s="3" t="s">
        <v>1213</v>
      </c>
      <c r="AI67" s="3" t="s">
        <v>17</v>
      </c>
    </row>
    <row r="68" spans="1:35" ht="16.5" customHeight="1" x14ac:dyDescent="0.25">
      <c r="A68" s="3" t="s">
        <v>110</v>
      </c>
      <c r="B68" s="3" t="s">
        <v>1288</v>
      </c>
      <c r="C68" s="3" t="s">
        <v>358</v>
      </c>
      <c r="D68" s="3" t="s">
        <v>191</v>
      </c>
      <c r="E68" s="3" t="s">
        <v>323</v>
      </c>
      <c r="F68" s="3">
        <v>2015</v>
      </c>
      <c r="G68" s="3" t="s">
        <v>220</v>
      </c>
      <c r="H68" s="3" t="s">
        <v>14</v>
      </c>
      <c r="I68" s="3" t="s">
        <v>375</v>
      </c>
      <c r="J68" s="3" t="s">
        <v>372</v>
      </c>
      <c r="K68" s="3" t="s">
        <v>11</v>
      </c>
      <c r="L68" s="3" t="s">
        <v>19</v>
      </c>
      <c r="M68" s="3" t="s">
        <v>23</v>
      </c>
      <c r="N68" s="3" t="s">
        <v>449</v>
      </c>
      <c r="O68" s="3" t="s">
        <v>33</v>
      </c>
      <c r="P68" s="3" t="s">
        <v>36</v>
      </c>
      <c r="Q68" s="3" t="s">
        <v>17</v>
      </c>
      <c r="R68" s="3" t="s">
        <v>454</v>
      </c>
      <c r="S68" s="3" t="s">
        <v>17</v>
      </c>
      <c r="T68" s="3" t="s">
        <v>17</v>
      </c>
      <c r="U68" s="3" t="s">
        <v>360</v>
      </c>
      <c r="V68" s="3" t="s">
        <v>17</v>
      </c>
      <c r="W68" s="3" t="s">
        <v>541</v>
      </c>
      <c r="X68" s="3" t="s">
        <v>846</v>
      </c>
      <c r="Y68" s="3" t="s">
        <v>17</v>
      </c>
      <c r="Z68" s="3" t="s">
        <v>17</v>
      </c>
      <c r="AA68" s="3" t="s">
        <v>31</v>
      </c>
      <c r="AB68" s="3" t="s">
        <v>17</v>
      </c>
      <c r="AC68" s="3" t="s">
        <v>848</v>
      </c>
      <c r="AD68" s="3" t="s">
        <v>847</v>
      </c>
      <c r="AE68" s="3" t="s">
        <v>849</v>
      </c>
      <c r="AF68" s="3" t="s">
        <v>17</v>
      </c>
      <c r="AG68" s="3" t="s">
        <v>850</v>
      </c>
      <c r="AH68" s="3" t="s">
        <v>851</v>
      </c>
      <c r="AI68" s="3" t="s">
        <v>17</v>
      </c>
    </row>
    <row r="69" spans="1:35" ht="16.5" customHeight="1" x14ac:dyDescent="0.25">
      <c r="A69" s="3" t="s">
        <v>111</v>
      </c>
      <c r="B69" s="3" t="s">
        <v>1289</v>
      </c>
      <c r="C69" s="3" t="s">
        <v>358</v>
      </c>
      <c r="D69" s="3" t="s">
        <v>192</v>
      </c>
      <c r="E69" s="3" t="s">
        <v>324</v>
      </c>
      <c r="F69" s="3">
        <v>2022</v>
      </c>
      <c r="G69" s="3" t="s">
        <v>249</v>
      </c>
      <c r="H69" s="3" t="s">
        <v>13</v>
      </c>
      <c r="I69" s="3" t="s">
        <v>392</v>
      </c>
      <c r="J69" s="3" t="s">
        <v>372</v>
      </c>
      <c r="K69" s="3" t="s">
        <v>11</v>
      </c>
      <c r="L69" s="3" t="s">
        <v>19</v>
      </c>
      <c r="M69" s="3" t="s">
        <v>21</v>
      </c>
      <c r="N69" s="3" t="s">
        <v>449</v>
      </c>
      <c r="O69" s="3" t="s">
        <v>33</v>
      </c>
      <c r="P69" s="3" t="s">
        <v>36</v>
      </c>
      <c r="Q69" s="3" t="s">
        <v>534</v>
      </c>
      <c r="R69" s="3" t="s">
        <v>24</v>
      </c>
      <c r="S69" s="3" t="s">
        <v>30</v>
      </c>
      <c r="T69" s="3">
        <v>20</v>
      </c>
      <c r="U69" s="3" t="s">
        <v>360</v>
      </c>
      <c r="V69" s="3">
        <v>0</v>
      </c>
      <c r="W69" s="3" t="s">
        <v>541</v>
      </c>
      <c r="X69" s="3" t="s">
        <v>597</v>
      </c>
      <c r="Y69" s="3" t="s">
        <v>461</v>
      </c>
      <c r="Z69" s="3" t="s">
        <v>602</v>
      </c>
      <c r="AA69" s="3" t="s">
        <v>17</v>
      </c>
      <c r="AB69" s="3" t="s">
        <v>853</v>
      </c>
      <c r="AC69" s="3" t="s">
        <v>852</v>
      </c>
      <c r="AD69" s="3" t="s">
        <v>855</v>
      </c>
      <c r="AE69" s="3" t="s">
        <v>856</v>
      </c>
      <c r="AF69" s="3" t="s">
        <v>857</v>
      </c>
      <c r="AG69" s="3" t="s">
        <v>858</v>
      </c>
      <c r="AH69" s="3" t="s">
        <v>859</v>
      </c>
      <c r="AI69" s="3" t="s">
        <v>17</v>
      </c>
    </row>
    <row r="70" spans="1:35" ht="16.5" customHeight="1" x14ac:dyDescent="0.25">
      <c r="A70" s="3" t="s">
        <v>112</v>
      </c>
      <c r="B70" s="3" t="s">
        <v>1290</v>
      </c>
      <c r="C70" s="3" t="s">
        <v>358</v>
      </c>
      <c r="D70" s="3" t="s">
        <v>193</v>
      </c>
      <c r="E70" s="3" t="s">
        <v>325</v>
      </c>
      <c r="F70" s="3">
        <v>2017</v>
      </c>
      <c r="G70" s="3" t="s">
        <v>402</v>
      </c>
      <c r="H70" s="3" t="s">
        <v>17</v>
      </c>
      <c r="I70" s="3" t="s">
        <v>17</v>
      </c>
      <c r="J70" s="3" t="s">
        <v>17</v>
      </c>
      <c r="K70" s="3" t="s">
        <v>17</v>
      </c>
      <c r="L70" s="3" t="s">
        <v>19</v>
      </c>
      <c r="M70" s="3" t="s">
        <v>23</v>
      </c>
      <c r="N70" s="3" t="s">
        <v>449</v>
      </c>
      <c r="O70" s="3" t="s">
        <v>33</v>
      </c>
      <c r="P70" s="3" t="s">
        <v>36</v>
      </c>
      <c r="Q70" s="3" t="s">
        <v>17</v>
      </c>
      <c r="R70" s="3" t="s">
        <v>602</v>
      </c>
      <c r="S70" s="3" t="s">
        <v>31</v>
      </c>
      <c r="T70" s="3" t="s">
        <v>17</v>
      </c>
      <c r="U70" s="3" t="s">
        <v>360</v>
      </c>
      <c r="V70" s="3" t="s">
        <v>17</v>
      </c>
      <c r="W70" s="3" t="s">
        <v>541</v>
      </c>
      <c r="X70" s="3" t="s">
        <v>861</v>
      </c>
      <c r="Y70" s="3" t="s">
        <v>461</v>
      </c>
      <c r="Z70" s="3" t="s">
        <v>602</v>
      </c>
      <c r="AA70" s="3" t="s">
        <v>456</v>
      </c>
      <c r="AB70" s="3" t="s">
        <v>863</v>
      </c>
      <c r="AC70" s="3" t="s">
        <v>864</v>
      </c>
      <c r="AD70" s="3" t="s">
        <v>862</v>
      </c>
      <c r="AE70" s="3" t="s">
        <v>865</v>
      </c>
      <c r="AF70" s="3" t="s">
        <v>17</v>
      </c>
      <c r="AG70" s="3" t="s">
        <v>866</v>
      </c>
      <c r="AH70" s="3" t="s">
        <v>1151</v>
      </c>
      <c r="AI70" s="3" t="s">
        <v>17</v>
      </c>
    </row>
    <row r="71" spans="1:35" ht="16.5" customHeight="1" x14ac:dyDescent="0.25">
      <c r="A71" s="3" t="s">
        <v>113</v>
      </c>
      <c r="B71" s="3" t="s">
        <v>1291</v>
      </c>
      <c r="C71" s="3" t="s">
        <v>358</v>
      </c>
      <c r="D71" s="3" t="s">
        <v>194</v>
      </c>
      <c r="E71" s="3" t="s">
        <v>17</v>
      </c>
      <c r="F71" s="3">
        <v>2015</v>
      </c>
      <c r="G71" s="3" t="s">
        <v>250</v>
      </c>
      <c r="H71" s="3" t="s">
        <v>15</v>
      </c>
      <c r="I71" s="3" t="s">
        <v>375</v>
      </c>
      <c r="J71" s="3" t="s">
        <v>372</v>
      </c>
      <c r="K71" s="3" t="s">
        <v>11</v>
      </c>
      <c r="L71" s="3" t="s">
        <v>19</v>
      </c>
      <c r="M71" s="3" t="s">
        <v>23</v>
      </c>
      <c r="N71" s="3" t="s">
        <v>414</v>
      </c>
      <c r="O71" s="3" t="s">
        <v>17</v>
      </c>
      <c r="P71" s="3" t="s">
        <v>17</v>
      </c>
      <c r="Q71" s="3" t="s">
        <v>17</v>
      </c>
      <c r="R71" s="3" t="s">
        <v>24</v>
      </c>
      <c r="S71" s="3" t="s">
        <v>31</v>
      </c>
      <c r="T71" s="3" t="s">
        <v>17</v>
      </c>
      <c r="U71" s="3" t="s">
        <v>360</v>
      </c>
      <c r="V71" s="3" t="s">
        <v>17</v>
      </c>
      <c r="W71" s="3" t="s">
        <v>541</v>
      </c>
      <c r="X71" s="3" t="s">
        <v>868</v>
      </c>
      <c r="Y71" s="3" t="s">
        <v>17</v>
      </c>
      <c r="Z71" s="3" t="s">
        <v>602</v>
      </c>
      <c r="AA71" s="3" t="s">
        <v>31</v>
      </c>
      <c r="AB71" s="3" t="s">
        <v>867</v>
      </c>
      <c r="AC71" s="3" t="s">
        <v>870</v>
      </c>
      <c r="AD71" s="3" t="s">
        <v>869</v>
      </c>
      <c r="AE71" s="3" t="s">
        <v>871</v>
      </c>
      <c r="AF71" s="3" t="s">
        <v>872</v>
      </c>
      <c r="AG71" s="3" t="s">
        <v>873</v>
      </c>
      <c r="AH71" s="3" t="s">
        <v>874</v>
      </c>
      <c r="AI71" s="3" t="s">
        <v>875</v>
      </c>
    </row>
    <row r="72" spans="1:35" ht="16.5" customHeight="1" x14ac:dyDescent="0.25">
      <c r="A72" s="3" t="s">
        <v>114</v>
      </c>
      <c r="B72" s="3" t="s">
        <v>1292</v>
      </c>
      <c r="C72" s="3" t="s">
        <v>358</v>
      </c>
      <c r="D72" s="3" t="s">
        <v>497</v>
      </c>
      <c r="E72" s="3" t="s">
        <v>17</v>
      </c>
      <c r="F72" s="3">
        <v>2021</v>
      </c>
      <c r="G72" s="3" t="s">
        <v>470</v>
      </c>
      <c r="H72" s="3" t="s">
        <v>17</v>
      </c>
      <c r="I72" s="3" t="s">
        <v>17</v>
      </c>
      <c r="J72" s="3" t="s">
        <v>17</v>
      </c>
      <c r="K72" s="3" t="s">
        <v>17</v>
      </c>
      <c r="L72" s="3" t="s">
        <v>19</v>
      </c>
      <c r="M72" s="3" t="s">
        <v>409</v>
      </c>
      <c r="N72" s="3" t="s">
        <v>449</v>
      </c>
      <c r="O72" s="3" t="s">
        <v>35</v>
      </c>
      <c r="P72" s="3" t="s">
        <v>363</v>
      </c>
      <c r="Q72" s="3" t="s">
        <v>374</v>
      </c>
      <c r="R72" s="3" t="s">
        <v>24</v>
      </c>
      <c r="S72" s="3" t="s">
        <v>30</v>
      </c>
      <c r="T72" s="3">
        <v>4</v>
      </c>
      <c r="U72" s="3" t="s">
        <v>360</v>
      </c>
      <c r="V72" s="3" t="s">
        <v>17</v>
      </c>
      <c r="W72" s="3" t="s">
        <v>541</v>
      </c>
      <c r="X72" s="3" t="s">
        <v>1214</v>
      </c>
      <c r="Y72" s="3" t="s">
        <v>461</v>
      </c>
      <c r="Z72" s="3" t="s">
        <v>368</v>
      </c>
      <c r="AA72" s="3" t="s">
        <v>17</v>
      </c>
      <c r="AB72" s="3" t="s">
        <v>853</v>
      </c>
      <c r="AC72" s="3" t="s">
        <v>1216</v>
      </c>
      <c r="AD72" s="3" t="s">
        <v>1215</v>
      </c>
      <c r="AE72" s="3" t="s">
        <v>1217</v>
      </c>
      <c r="AF72" s="3" t="s">
        <v>17</v>
      </c>
      <c r="AG72" s="3" t="s">
        <v>1218</v>
      </c>
      <c r="AH72" s="3" t="s">
        <v>1219</v>
      </c>
      <c r="AI72" s="3" t="s">
        <v>1220</v>
      </c>
    </row>
    <row r="73" spans="1:35" ht="16.5" customHeight="1" x14ac:dyDescent="0.25">
      <c r="A73" s="3" t="s">
        <v>115</v>
      </c>
      <c r="B73" s="3" t="s">
        <v>416</v>
      </c>
      <c r="C73" s="3" t="s">
        <v>358</v>
      </c>
      <c r="D73" s="3" t="s">
        <v>417</v>
      </c>
      <c r="E73" s="3" t="s">
        <v>418</v>
      </c>
      <c r="F73" s="3">
        <v>2018</v>
      </c>
      <c r="G73" s="3" t="s">
        <v>415</v>
      </c>
      <c r="H73" s="3" t="s">
        <v>17</v>
      </c>
      <c r="I73" s="3" t="s">
        <v>17</v>
      </c>
      <c r="J73" s="3" t="s">
        <v>17</v>
      </c>
      <c r="K73" s="3" t="s">
        <v>17</v>
      </c>
      <c r="L73" s="3" t="s">
        <v>19</v>
      </c>
      <c r="M73" s="3" t="s">
        <v>409</v>
      </c>
      <c r="N73" s="3" t="s">
        <v>449</v>
      </c>
      <c r="O73" s="3" t="s">
        <v>33</v>
      </c>
      <c r="P73" s="3" t="s">
        <v>37</v>
      </c>
      <c r="Q73" s="3" t="s">
        <v>980</v>
      </c>
      <c r="R73" s="3" t="s">
        <v>17</v>
      </c>
      <c r="S73" s="3" t="s">
        <v>27</v>
      </c>
      <c r="T73" s="3">
        <v>5</v>
      </c>
      <c r="U73" s="3" t="s">
        <v>360</v>
      </c>
      <c r="V73" s="3">
        <v>0</v>
      </c>
      <c r="W73" s="3" t="s">
        <v>17</v>
      </c>
      <c r="X73" s="3" t="s">
        <v>17</v>
      </c>
      <c r="Y73" s="3" t="s">
        <v>17</v>
      </c>
      <c r="Z73" s="3" t="s">
        <v>368</v>
      </c>
      <c r="AA73" s="3" t="s">
        <v>31</v>
      </c>
      <c r="AB73" s="3" t="s">
        <v>17</v>
      </c>
      <c r="AC73" s="3" t="s">
        <v>1222</v>
      </c>
      <c r="AD73" s="3" t="s">
        <v>1221</v>
      </c>
      <c r="AE73" s="3" t="s">
        <v>1223</v>
      </c>
      <c r="AF73" s="3" t="s">
        <v>17</v>
      </c>
      <c r="AG73" s="3" t="s">
        <v>1225</v>
      </c>
      <c r="AH73" s="3" t="s">
        <v>1226</v>
      </c>
      <c r="AI73" s="3" t="s">
        <v>1224</v>
      </c>
    </row>
    <row r="74" spans="1:35" ht="16.5" customHeight="1" x14ac:dyDescent="0.25">
      <c r="A74" s="3" t="s">
        <v>116</v>
      </c>
      <c r="B74" s="3" t="s">
        <v>1294</v>
      </c>
      <c r="C74" s="3" t="s">
        <v>359</v>
      </c>
      <c r="D74" s="3" t="s">
        <v>196</v>
      </c>
      <c r="E74" s="3" t="s">
        <v>328</v>
      </c>
      <c r="F74" s="3">
        <v>2024</v>
      </c>
      <c r="G74" s="3" t="s">
        <v>396</v>
      </c>
      <c r="H74" s="3" t="s">
        <v>13</v>
      </c>
      <c r="I74" s="3" t="s">
        <v>374</v>
      </c>
      <c r="J74" s="3" t="s">
        <v>372</v>
      </c>
      <c r="K74" s="3" t="s">
        <v>369</v>
      </c>
      <c r="L74" s="3" t="s">
        <v>19</v>
      </c>
      <c r="M74" s="3" t="s">
        <v>22</v>
      </c>
      <c r="N74" s="3" t="s">
        <v>449</v>
      </c>
      <c r="O74" s="3" t="s">
        <v>33</v>
      </c>
      <c r="P74" s="3" t="s">
        <v>366</v>
      </c>
      <c r="Q74" s="3" t="s">
        <v>400</v>
      </c>
      <c r="R74" s="3" t="s">
        <v>24</v>
      </c>
      <c r="S74" s="3" t="s">
        <v>32</v>
      </c>
      <c r="T74" s="3">
        <v>2</v>
      </c>
      <c r="U74" s="3" t="s">
        <v>602</v>
      </c>
      <c r="V74" s="3">
        <v>4</v>
      </c>
      <c r="W74" s="3" t="s">
        <v>1407</v>
      </c>
      <c r="X74" s="3" t="s">
        <v>17</v>
      </c>
      <c r="Y74" s="3" t="s">
        <v>460</v>
      </c>
      <c r="Z74" s="3" t="s">
        <v>368</v>
      </c>
      <c r="AA74" s="3" t="s">
        <v>462</v>
      </c>
      <c r="AB74" s="3" t="s">
        <v>17</v>
      </c>
      <c r="AC74" s="3" t="s">
        <v>883</v>
      </c>
      <c r="AD74" s="3" t="s">
        <v>1170</v>
      </c>
      <c r="AE74" s="3" t="s">
        <v>908</v>
      </c>
      <c r="AF74" s="3" t="s">
        <v>884</v>
      </c>
      <c r="AG74" s="3" t="s">
        <v>885</v>
      </c>
      <c r="AH74" s="3" t="s">
        <v>886</v>
      </c>
      <c r="AI74" s="3" t="s">
        <v>887</v>
      </c>
    </row>
    <row r="75" spans="1:35" ht="16.5" customHeight="1" x14ac:dyDescent="0.25">
      <c r="A75" s="3" t="s">
        <v>117</v>
      </c>
      <c r="B75" s="3" t="s">
        <v>1293</v>
      </c>
      <c r="C75" s="3" t="s">
        <v>359</v>
      </c>
      <c r="D75" s="3" t="s">
        <v>195</v>
      </c>
      <c r="E75" s="3" t="s">
        <v>327</v>
      </c>
      <c r="F75" s="3">
        <v>2022</v>
      </c>
      <c r="G75" s="3" t="s">
        <v>326</v>
      </c>
      <c r="H75" s="3" t="s">
        <v>13</v>
      </c>
      <c r="I75" s="3" t="s">
        <v>375</v>
      </c>
      <c r="J75" s="3" t="s">
        <v>372</v>
      </c>
      <c r="K75" s="3" t="s">
        <v>11</v>
      </c>
      <c r="L75" s="3" t="s">
        <v>19</v>
      </c>
      <c r="M75" s="3" t="s">
        <v>22</v>
      </c>
      <c r="N75" s="3" t="s">
        <v>449</v>
      </c>
      <c r="O75" s="3" t="s">
        <v>33</v>
      </c>
      <c r="P75" s="3" t="s">
        <v>366</v>
      </c>
      <c r="Q75" s="3" t="s">
        <v>400</v>
      </c>
      <c r="R75" s="3" t="s">
        <v>24</v>
      </c>
      <c r="S75" s="3" t="s">
        <v>32</v>
      </c>
      <c r="T75" s="3">
        <v>2</v>
      </c>
      <c r="U75" s="3" t="s">
        <v>602</v>
      </c>
      <c r="V75" s="3">
        <v>4</v>
      </c>
      <c r="W75" s="3" t="s">
        <v>1407</v>
      </c>
      <c r="X75" s="3" t="s">
        <v>876</v>
      </c>
      <c r="Y75" s="3" t="s">
        <v>17</v>
      </c>
      <c r="Z75" s="3" t="s">
        <v>602</v>
      </c>
      <c r="AA75" s="3" t="s">
        <v>456</v>
      </c>
      <c r="AB75" s="3" t="s">
        <v>17</v>
      </c>
      <c r="AC75" s="3" t="s">
        <v>877</v>
      </c>
      <c r="AD75" s="3" t="s">
        <v>1169</v>
      </c>
      <c r="AE75" s="3" t="s">
        <v>878</v>
      </c>
      <c r="AF75" s="3" t="s">
        <v>17</v>
      </c>
      <c r="AG75" s="3" t="s">
        <v>879</v>
      </c>
      <c r="AH75" s="3" t="s">
        <v>880</v>
      </c>
      <c r="AI75" s="3" t="s">
        <v>17</v>
      </c>
    </row>
    <row r="76" spans="1:35" ht="16.5" customHeight="1" x14ac:dyDescent="0.25">
      <c r="A76" s="3" t="s">
        <v>118</v>
      </c>
      <c r="B76" s="3" t="s">
        <v>1295</v>
      </c>
      <c r="C76" s="3" t="s">
        <v>359</v>
      </c>
      <c r="D76" s="3" t="s">
        <v>197</v>
      </c>
      <c r="E76" s="3" t="s">
        <v>329</v>
      </c>
      <c r="F76" s="3">
        <v>2019</v>
      </c>
      <c r="G76" s="3" t="s">
        <v>251</v>
      </c>
      <c r="H76" s="3" t="s">
        <v>13</v>
      </c>
      <c r="I76" s="3" t="s">
        <v>375</v>
      </c>
      <c r="J76" s="3" t="s">
        <v>376</v>
      </c>
      <c r="K76" s="3" t="s">
        <v>395</v>
      </c>
      <c r="L76" s="3" t="s">
        <v>19</v>
      </c>
      <c r="M76" s="3" t="s">
        <v>22</v>
      </c>
      <c r="N76" s="3" t="s">
        <v>414</v>
      </c>
      <c r="O76" s="3" t="s">
        <v>17</v>
      </c>
      <c r="P76" s="3" t="s">
        <v>17</v>
      </c>
      <c r="Q76" s="3" t="s">
        <v>392</v>
      </c>
      <c r="R76" s="3" t="s">
        <v>454</v>
      </c>
      <c r="S76" s="3" t="s">
        <v>31</v>
      </c>
      <c r="T76" s="3">
        <v>1300</v>
      </c>
      <c r="U76" s="3" t="s">
        <v>602</v>
      </c>
      <c r="V76" s="3">
        <v>3</v>
      </c>
      <c r="W76" s="3" t="s">
        <v>541</v>
      </c>
      <c r="X76" s="3" t="s">
        <v>564</v>
      </c>
      <c r="Y76" s="3" t="s">
        <v>459</v>
      </c>
      <c r="Z76" s="3" t="s">
        <v>602</v>
      </c>
      <c r="AA76" s="3" t="s">
        <v>456</v>
      </c>
      <c r="AB76" s="3" t="s">
        <v>889</v>
      </c>
      <c r="AC76" s="3" t="s">
        <v>890</v>
      </c>
      <c r="AD76" s="3" t="s">
        <v>888</v>
      </c>
      <c r="AE76" s="3" t="s">
        <v>909</v>
      </c>
      <c r="AF76" s="3" t="s">
        <v>17</v>
      </c>
      <c r="AG76" s="3" t="s">
        <v>892</v>
      </c>
      <c r="AH76" s="3" t="s">
        <v>893</v>
      </c>
      <c r="AI76" s="3" t="s">
        <v>891</v>
      </c>
    </row>
    <row r="77" spans="1:35" ht="16.5" customHeight="1" x14ac:dyDescent="0.25">
      <c r="A77" s="3" t="s">
        <v>119</v>
      </c>
      <c r="B77" s="3" t="s">
        <v>1296</v>
      </c>
      <c r="C77" s="3" t="s">
        <v>358</v>
      </c>
      <c r="D77" s="3" t="s">
        <v>280</v>
      </c>
      <c r="E77" s="3" t="s">
        <v>335</v>
      </c>
      <c r="F77" s="3">
        <v>2020</v>
      </c>
      <c r="G77" s="3" t="s">
        <v>278</v>
      </c>
      <c r="H77" s="3" t="s">
        <v>17</v>
      </c>
      <c r="I77" s="3" t="s">
        <v>17</v>
      </c>
      <c r="J77" s="3" t="s">
        <v>17</v>
      </c>
      <c r="K77" s="3" t="s">
        <v>17</v>
      </c>
      <c r="L77" s="3" t="s">
        <v>20</v>
      </c>
      <c r="M77" s="3" t="s">
        <v>21</v>
      </c>
      <c r="N77" s="3" t="s">
        <v>449</v>
      </c>
      <c r="O77" s="3" t="s">
        <v>35</v>
      </c>
      <c r="P77" s="3" t="s">
        <v>36</v>
      </c>
      <c r="Q77" s="3" t="s">
        <v>895</v>
      </c>
      <c r="R77" s="3" t="s">
        <v>24</v>
      </c>
      <c r="S77" s="3" t="s">
        <v>29</v>
      </c>
      <c r="T77" s="3">
        <v>28</v>
      </c>
      <c r="U77" s="3" t="s">
        <v>360</v>
      </c>
      <c r="V77" s="3">
        <v>3</v>
      </c>
      <c r="W77" s="3" t="s">
        <v>541</v>
      </c>
      <c r="X77" s="3" t="s">
        <v>894</v>
      </c>
      <c r="Y77" s="3" t="s">
        <v>17</v>
      </c>
      <c r="Z77" s="3" t="s">
        <v>17</v>
      </c>
      <c r="AA77" s="3" t="s">
        <v>17</v>
      </c>
      <c r="AB77" s="3" t="s">
        <v>7</v>
      </c>
      <c r="AC77" s="3" t="s">
        <v>897</v>
      </c>
      <c r="AD77" s="3" t="s">
        <v>896</v>
      </c>
      <c r="AE77" s="3" t="s">
        <v>898</v>
      </c>
      <c r="AF77" s="3" t="s">
        <v>17</v>
      </c>
      <c r="AG77" s="3" t="s">
        <v>899</v>
      </c>
      <c r="AH77" s="3" t="s">
        <v>900</v>
      </c>
      <c r="AI77" s="3" t="s">
        <v>901</v>
      </c>
    </row>
    <row r="78" spans="1:35" ht="16.5" customHeight="1" x14ac:dyDescent="0.25">
      <c r="A78" s="3" t="s">
        <v>120</v>
      </c>
      <c r="B78" s="3" t="s">
        <v>1297</v>
      </c>
      <c r="C78" s="3" t="s">
        <v>358</v>
      </c>
      <c r="D78" s="3" t="s">
        <v>494</v>
      </c>
      <c r="E78" s="3" t="s">
        <v>496</v>
      </c>
      <c r="F78" s="3">
        <v>2016</v>
      </c>
      <c r="G78" s="3" t="s">
        <v>495</v>
      </c>
      <c r="H78" s="3" t="s">
        <v>17</v>
      </c>
      <c r="I78" s="3" t="s">
        <v>17</v>
      </c>
      <c r="J78" s="3" t="s">
        <v>17</v>
      </c>
      <c r="K78" s="3" t="s">
        <v>17</v>
      </c>
      <c r="L78" s="3" t="s">
        <v>19</v>
      </c>
      <c r="M78" s="3" t="s">
        <v>409</v>
      </c>
      <c r="N78" s="3" t="s">
        <v>449</v>
      </c>
      <c r="O78" s="3" t="s">
        <v>33</v>
      </c>
      <c r="P78" s="3" t="s">
        <v>37</v>
      </c>
      <c r="Q78" s="3" t="s">
        <v>374</v>
      </c>
      <c r="R78" s="3" t="s">
        <v>24</v>
      </c>
      <c r="S78" s="3" t="s">
        <v>30</v>
      </c>
      <c r="T78" s="3" t="s">
        <v>17</v>
      </c>
      <c r="U78" s="3" t="s">
        <v>360</v>
      </c>
      <c r="V78" s="3" t="s">
        <v>17</v>
      </c>
      <c r="W78" s="3" t="s">
        <v>541</v>
      </c>
      <c r="X78" s="3" t="s">
        <v>1214</v>
      </c>
      <c r="Y78" s="3" t="s">
        <v>17</v>
      </c>
      <c r="Z78" s="3" t="s">
        <v>368</v>
      </c>
      <c r="AA78" s="3" t="s">
        <v>17</v>
      </c>
      <c r="AB78" s="3" t="s">
        <v>1229</v>
      </c>
      <c r="AC78" s="3" t="s">
        <v>1216</v>
      </c>
      <c r="AD78" s="3" t="s">
        <v>1228</v>
      </c>
      <c r="AE78" s="3" t="s">
        <v>1230</v>
      </c>
      <c r="AF78" s="3" t="s">
        <v>17</v>
      </c>
      <c r="AG78" s="3" t="s">
        <v>1231</v>
      </c>
      <c r="AH78" s="3" t="s">
        <v>1232</v>
      </c>
      <c r="AI78" s="3" t="s">
        <v>1233</v>
      </c>
    </row>
    <row r="79" spans="1:35" ht="16.5" customHeight="1" x14ac:dyDescent="0.25">
      <c r="A79" s="3" t="s">
        <v>121</v>
      </c>
      <c r="B79" s="3" t="s">
        <v>1298</v>
      </c>
      <c r="C79" s="3" t="s">
        <v>358</v>
      </c>
      <c r="D79" s="3" t="s">
        <v>473</v>
      </c>
      <c r="E79" s="3" t="s">
        <v>1043</v>
      </c>
      <c r="F79" s="3">
        <v>2015</v>
      </c>
      <c r="G79" s="3" t="s">
        <v>472</v>
      </c>
      <c r="H79" s="3" t="s">
        <v>15</v>
      </c>
      <c r="I79" s="3" t="s">
        <v>424</v>
      </c>
      <c r="J79" s="3" t="s">
        <v>372</v>
      </c>
      <c r="K79" s="3" t="s">
        <v>11</v>
      </c>
      <c r="L79" s="3" t="s">
        <v>19</v>
      </c>
      <c r="M79" s="3" t="s">
        <v>409</v>
      </c>
      <c r="N79" s="3" t="s">
        <v>449</v>
      </c>
      <c r="O79" s="3" t="s">
        <v>35</v>
      </c>
      <c r="P79" s="3" t="s">
        <v>36</v>
      </c>
      <c r="Q79" s="3" t="s">
        <v>424</v>
      </c>
      <c r="R79" s="3" t="s">
        <v>24</v>
      </c>
      <c r="S79" s="3" t="s">
        <v>30</v>
      </c>
      <c r="T79" s="3">
        <v>76</v>
      </c>
      <c r="U79" s="3" t="s">
        <v>360</v>
      </c>
      <c r="V79" s="3">
        <v>3</v>
      </c>
      <c r="W79" s="3" t="s">
        <v>541</v>
      </c>
      <c r="X79" s="3" t="s">
        <v>597</v>
      </c>
      <c r="Y79" s="3" t="s">
        <v>452</v>
      </c>
      <c r="Z79" s="3" t="s">
        <v>602</v>
      </c>
      <c r="AA79" s="3" t="s">
        <v>17</v>
      </c>
      <c r="AB79" s="3" t="s">
        <v>455</v>
      </c>
      <c r="AC79" s="3" t="s">
        <v>1236</v>
      </c>
      <c r="AD79" s="3" t="s">
        <v>1234</v>
      </c>
      <c r="AE79" s="3" t="s">
        <v>1237</v>
      </c>
      <c r="AF79" s="3" t="s">
        <v>1238</v>
      </c>
      <c r="AG79" s="3" t="s">
        <v>1235</v>
      </c>
      <c r="AH79" s="3" t="s">
        <v>1239</v>
      </c>
      <c r="AI79" s="3" t="s">
        <v>17</v>
      </c>
    </row>
    <row r="80" spans="1:35" ht="16.5" customHeight="1" x14ac:dyDescent="0.25">
      <c r="A80" s="3" t="s">
        <v>122</v>
      </c>
      <c r="B80" s="3" t="s">
        <v>1299</v>
      </c>
      <c r="C80" s="3" t="s">
        <v>358</v>
      </c>
      <c r="D80" s="3" t="s">
        <v>198</v>
      </c>
      <c r="E80" s="3" t="s">
        <v>17</v>
      </c>
      <c r="F80" s="3">
        <v>2021</v>
      </c>
      <c r="G80" s="3" t="s">
        <v>334</v>
      </c>
      <c r="H80" s="3" t="s">
        <v>14</v>
      </c>
      <c r="I80" s="3" t="s">
        <v>388</v>
      </c>
      <c r="J80" s="3" t="s">
        <v>389</v>
      </c>
      <c r="K80" s="3" t="s">
        <v>390</v>
      </c>
      <c r="L80" s="3" t="s">
        <v>19</v>
      </c>
      <c r="M80" s="3" t="s">
        <v>22</v>
      </c>
      <c r="N80" s="3" t="s">
        <v>449</v>
      </c>
      <c r="O80" s="3" t="s">
        <v>35</v>
      </c>
      <c r="P80" s="3" t="s">
        <v>36</v>
      </c>
      <c r="Q80" s="3" t="s">
        <v>17</v>
      </c>
      <c r="R80" s="3" t="s">
        <v>24</v>
      </c>
      <c r="S80" s="3" t="s">
        <v>29</v>
      </c>
      <c r="T80" s="3">
        <v>24</v>
      </c>
      <c r="U80" s="3" t="s">
        <v>360</v>
      </c>
      <c r="V80" s="3" t="s">
        <v>17</v>
      </c>
      <c r="W80" s="3" t="s">
        <v>357</v>
      </c>
      <c r="X80" s="3" t="s">
        <v>903</v>
      </c>
      <c r="Y80" s="3" t="s">
        <v>459</v>
      </c>
      <c r="Z80" s="3" t="s">
        <v>17</v>
      </c>
      <c r="AA80" s="3" t="s">
        <v>456</v>
      </c>
      <c r="AB80" s="3" t="s">
        <v>904</v>
      </c>
      <c r="AC80" s="3" t="s">
        <v>906</v>
      </c>
      <c r="AD80" s="3" t="s">
        <v>905</v>
      </c>
      <c r="AE80" s="3" t="s">
        <v>907</v>
      </c>
      <c r="AF80" s="3" t="s">
        <v>910</v>
      </c>
      <c r="AG80" s="3" t="s">
        <v>911</v>
      </c>
      <c r="AH80" s="3" t="s">
        <v>912</v>
      </c>
      <c r="AI80" s="3" t="s">
        <v>913</v>
      </c>
    </row>
    <row r="81" spans="1:35" ht="16.5" customHeight="1" x14ac:dyDescent="0.25">
      <c r="A81" s="3" t="s">
        <v>123</v>
      </c>
      <c r="B81" s="3" t="s">
        <v>1300</v>
      </c>
      <c r="C81" s="3" t="s">
        <v>359</v>
      </c>
      <c r="D81" s="3" t="s">
        <v>421</v>
      </c>
      <c r="E81" s="3" t="s">
        <v>420</v>
      </c>
      <c r="F81" s="3">
        <v>2016</v>
      </c>
      <c r="G81" s="3" t="s">
        <v>422</v>
      </c>
      <c r="H81" s="3" t="s">
        <v>14</v>
      </c>
      <c r="I81" s="3" t="s">
        <v>423</v>
      </c>
      <c r="J81" s="3" t="s">
        <v>372</v>
      </c>
      <c r="K81" s="3" t="s">
        <v>11</v>
      </c>
      <c r="L81" s="3" t="s">
        <v>19</v>
      </c>
      <c r="M81" s="3" t="s">
        <v>409</v>
      </c>
      <c r="N81" s="3" t="s">
        <v>449</v>
      </c>
      <c r="O81" s="3" t="s">
        <v>35</v>
      </c>
      <c r="P81" s="3" t="s">
        <v>36</v>
      </c>
      <c r="Q81" s="3" t="s">
        <v>423</v>
      </c>
      <c r="R81" s="3" t="s">
        <v>602</v>
      </c>
      <c r="S81" s="3" t="s">
        <v>29</v>
      </c>
      <c r="T81" s="3">
        <v>72</v>
      </c>
      <c r="U81" s="3" t="s">
        <v>360</v>
      </c>
      <c r="V81" s="3">
        <v>3</v>
      </c>
      <c r="W81" s="3" t="s">
        <v>541</v>
      </c>
      <c r="X81" s="3" t="s">
        <v>1240</v>
      </c>
      <c r="Y81" s="3" t="s">
        <v>459</v>
      </c>
      <c r="Z81" s="3" t="s">
        <v>602</v>
      </c>
      <c r="AA81" s="3" t="s">
        <v>31</v>
      </c>
      <c r="AB81" s="3" t="s">
        <v>1242</v>
      </c>
      <c r="AC81" s="3" t="s">
        <v>1243</v>
      </c>
      <c r="AD81" s="3" t="s">
        <v>1241</v>
      </c>
      <c r="AE81" s="3" t="s">
        <v>1244</v>
      </c>
      <c r="AF81" s="3" t="s">
        <v>17</v>
      </c>
      <c r="AG81" s="3" t="s">
        <v>1246</v>
      </c>
      <c r="AH81" s="3" t="s">
        <v>1247</v>
      </c>
      <c r="AI81" s="3" t="s">
        <v>1245</v>
      </c>
    </row>
    <row r="82" spans="1:35" ht="16.5" customHeight="1" x14ac:dyDescent="0.25">
      <c r="A82" s="3" t="s">
        <v>124</v>
      </c>
      <c r="B82" s="3" t="s">
        <v>1301</v>
      </c>
      <c r="C82" s="3" t="s">
        <v>359</v>
      </c>
      <c r="D82" s="3" t="s">
        <v>199</v>
      </c>
      <c r="E82" s="3" t="s">
        <v>336</v>
      </c>
      <c r="F82" s="3">
        <v>2024</v>
      </c>
      <c r="G82" s="3" t="s">
        <v>252</v>
      </c>
      <c r="H82" s="3" t="s">
        <v>14</v>
      </c>
      <c r="I82" s="3" t="s">
        <v>385</v>
      </c>
      <c r="J82" s="3" t="s">
        <v>372</v>
      </c>
      <c r="K82" s="3" t="s">
        <v>11</v>
      </c>
      <c r="L82" s="3" t="s">
        <v>19</v>
      </c>
      <c r="M82" s="3" t="s">
        <v>21</v>
      </c>
      <c r="N82" s="3" t="s">
        <v>449</v>
      </c>
      <c r="O82" s="3" t="s">
        <v>33</v>
      </c>
      <c r="P82" s="3" t="s">
        <v>36</v>
      </c>
      <c r="Q82" s="3" t="s">
        <v>397</v>
      </c>
      <c r="R82" s="3" t="s">
        <v>602</v>
      </c>
      <c r="S82" s="3" t="s">
        <v>27</v>
      </c>
      <c r="T82" s="3">
        <v>37</v>
      </c>
      <c r="U82" s="3" t="s">
        <v>602</v>
      </c>
      <c r="V82" s="3">
        <v>4</v>
      </c>
      <c r="W82" s="3" t="s">
        <v>1407</v>
      </c>
      <c r="X82" s="3" t="s">
        <v>916</v>
      </c>
      <c r="Y82" s="3" t="s">
        <v>461</v>
      </c>
      <c r="Z82" s="3" t="s">
        <v>17</v>
      </c>
      <c r="AA82" s="3" t="s">
        <v>17</v>
      </c>
      <c r="AB82" s="3" t="s">
        <v>918</v>
      </c>
      <c r="AC82" s="3" t="s">
        <v>877</v>
      </c>
      <c r="AD82" s="3" t="s">
        <v>917</v>
      </c>
      <c r="AE82" s="3" t="s">
        <v>914</v>
      </c>
      <c r="AF82" s="3" t="s">
        <v>17</v>
      </c>
      <c r="AG82" s="3" t="s">
        <v>919</v>
      </c>
      <c r="AH82" s="3" t="s">
        <v>920</v>
      </c>
      <c r="AI82" s="3" t="s">
        <v>921</v>
      </c>
    </row>
    <row r="83" spans="1:35" ht="16.5" customHeight="1" x14ac:dyDescent="0.25">
      <c r="A83" s="3" t="s">
        <v>125</v>
      </c>
      <c r="B83" s="3" t="s">
        <v>1302</v>
      </c>
      <c r="C83" s="3" t="s">
        <v>359</v>
      </c>
      <c r="D83" s="3" t="s">
        <v>482</v>
      </c>
      <c r="E83" s="3" t="s">
        <v>483</v>
      </c>
      <c r="F83" s="3">
        <v>2014</v>
      </c>
      <c r="G83" s="3" t="s">
        <v>226</v>
      </c>
      <c r="H83" s="3" t="s">
        <v>14</v>
      </c>
      <c r="I83" s="3" t="s">
        <v>381</v>
      </c>
      <c r="J83" s="3" t="s">
        <v>372</v>
      </c>
      <c r="K83" s="3" t="s">
        <v>11</v>
      </c>
      <c r="L83" s="3" t="s">
        <v>20</v>
      </c>
      <c r="M83" s="3" t="s">
        <v>409</v>
      </c>
      <c r="N83" s="3" t="s">
        <v>449</v>
      </c>
      <c r="O83" s="3" t="s">
        <v>35</v>
      </c>
      <c r="P83" s="3" t="s">
        <v>36</v>
      </c>
      <c r="Q83" s="3" t="s">
        <v>381</v>
      </c>
      <c r="R83" s="3" t="s">
        <v>24</v>
      </c>
      <c r="S83" s="3" t="s">
        <v>27</v>
      </c>
      <c r="T83" s="3">
        <v>91</v>
      </c>
      <c r="U83" s="3" t="s">
        <v>602</v>
      </c>
      <c r="V83" s="3" t="s">
        <v>17</v>
      </c>
      <c r="W83" s="3" t="s">
        <v>541</v>
      </c>
      <c r="X83" s="3" t="s">
        <v>1214</v>
      </c>
      <c r="Y83" s="3" t="s">
        <v>452</v>
      </c>
      <c r="Z83" s="3" t="s">
        <v>17</v>
      </c>
      <c r="AA83" s="3" t="s">
        <v>31</v>
      </c>
      <c r="AB83" s="3" t="s">
        <v>1250</v>
      </c>
      <c r="AC83" s="3" t="s">
        <v>1251</v>
      </c>
      <c r="AD83" s="3" t="s">
        <v>1249</v>
      </c>
      <c r="AE83" s="3" t="s">
        <v>1252</v>
      </c>
      <c r="AF83" s="3" t="s">
        <v>1253</v>
      </c>
      <c r="AG83" s="3" t="s">
        <v>1254</v>
      </c>
      <c r="AH83" s="3" t="s">
        <v>1255</v>
      </c>
      <c r="AI83" s="3" t="s">
        <v>1256</v>
      </c>
    </row>
    <row r="84" spans="1:35" ht="16.5" customHeight="1" x14ac:dyDescent="0.25">
      <c r="A84" s="3" t="s">
        <v>126</v>
      </c>
      <c r="B84" s="3" t="s">
        <v>1303</v>
      </c>
      <c r="C84" s="3" t="s">
        <v>359</v>
      </c>
      <c r="D84" s="3" t="s">
        <v>200</v>
      </c>
      <c r="E84" s="3" t="s">
        <v>337</v>
      </c>
      <c r="F84" s="3">
        <v>2015</v>
      </c>
      <c r="G84" s="3" t="s">
        <v>404</v>
      </c>
      <c r="H84" s="3" t="s">
        <v>13</v>
      </c>
      <c r="I84" s="3" t="s">
        <v>387</v>
      </c>
      <c r="J84" s="3" t="s">
        <v>372</v>
      </c>
      <c r="K84" s="3" t="s">
        <v>11</v>
      </c>
      <c r="L84" s="3" t="s">
        <v>19</v>
      </c>
      <c r="M84" s="3" t="s">
        <v>23</v>
      </c>
      <c r="N84" s="3" t="s">
        <v>449</v>
      </c>
      <c r="O84" s="3" t="s">
        <v>35</v>
      </c>
      <c r="P84" s="3" t="s">
        <v>362</v>
      </c>
      <c r="Q84" s="3" t="s">
        <v>453</v>
      </c>
      <c r="R84" s="3" t="s">
        <v>24</v>
      </c>
      <c r="S84" s="3" t="s">
        <v>30</v>
      </c>
      <c r="T84" s="3">
        <v>181</v>
      </c>
      <c r="U84" s="3" t="s">
        <v>602</v>
      </c>
      <c r="V84" s="3" t="s">
        <v>17</v>
      </c>
      <c r="W84" s="3" t="s">
        <v>541</v>
      </c>
      <c r="X84" s="3" t="s">
        <v>597</v>
      </c>
      <c r="Y84" s="3" t="s">
        <v>452</v>
      </c>
      <c r="Z84" s="3" t="s">
        <v>17</v>
      </c>
      <c r="AA84" s="3" t="s">
        <v>17</v>
      </c>
      <c r="AB84" s="3" t="s">
        <v>923</v>
      </c>
      <c r="AC84" s="3" t="s">
        <v>535</v>
      </c>
      <c r="AD84" s="3" t="s">
        <v>922</v>
      </c>
      <c r="AE84" s="3" t="s">
        <v>1152</v>
      </c>
      <c r="AF84" s="3" t="s">
        <v>17</v>
      </c>
      <c r="AG84" s="3" t="s">
        <v>925</v>
      </c>
      <c r="AH84" s="3" t="s">
        <v>926</v>
      </c>
      <c r="AI84" s="3" t="s">
        <v>924</v>
      </c>
    </row>
    <row r="85" spans="1:35" ht="16.5" customHeight="1" x14ac:dyDescent="0.25">
      <c r="A85" s="3" t="s">
        <v>127</v>
      </c>
      <c r="B85" s="3" t="s">
        <v>1304</v>
      </c>
      <c r="C85" s="3" t="s">
        <v>359</v>
      </c>
      <c r="D85" s="3" t="s">
        <v>1124</v>
      </c>
      <c r="E85" s="3" t="s">
        <v>17</v>
      </c>
      <c r="F85" s="3">
        <v>2017</v>
      </c>
      <c r="G85" s="3" t="s">
        <v>253</v>
      </c>
      <c r="H85" s="3" t="s">
        <v>13</v>
      </c>
      <c r="I85" s="3" t="s">
        <v>374</v>
      </c>
      <c r="J85" s="3" t="s">
        <v>372</v>
      </c>
      <c r="K85" s="3" t="s">
        <v>11</v>
      </c>
      <c r="L85" s="3" t="s">
        <v>19</v>
      </c>
      <c r="M85" s="3" t="s">
        <v>21</v>
      </c>
      <c r="N85" s="3" t="s">
        <v>449</v>
      </c>
      <c r="O85" s="3" t="s">
        <v>35</v>
      </c>
      <c r="P85" s="3" t="s">
        <v>363</v>
      </c>
      <c r="Q85" s="3" t="s">
        <v>423</v>
      </c>
      <c r="R85" s="3" t="s">
        <v>24</v>
      </c>
      <c r="S85" s="3" t="s">
        <v>31</v>
      </c>
      <c r="T85" s="3">
        <v>72</v>
      </c>
      <c r="U85" s="3" t="s">
        <v>360</v>
      </c>
      <c r="V85" s="3">
        <v>0</v>
      </c>
      <c r="W85" s="3" t="s">
        <v>541</v>
      </c>
      <c r="X85" s="3" t="s">
        <v>597</v>
      </c>
      <c r="Y85" s="3" t="s">
        <v>459</v>
      </c>
      <c r="Z85" s="3" t="s">
        <v>17</v>
      </c>
      <c r="AA85" s="3" t="s">
        <v>17</v>
      </c>
      <c r="AB85" s="3" t="s">
        <v>928</v>
      </c>
      <c r="AC85" s="3" t="s">
        <v>929</v>
      </c>
      <c r="AD85" s="3" t="s">
        <v>927</v>
      </c>
      <c r="AE85" s="3" t="s">
        <v>1153</v>
      </c>
      <c r="AF85" s="3" t="s">
        <v>17</v>
      </c>
      <c r="AG85" s="3" t="s">
        <v>1154</v>
      </c>
      <c r="AH85" s="3" t="s">
        <v>1155</v>
      </c>
      <c r="AI85" s="3" t="s">
        <v>930</v>
      </c>
    </row>
    <row r="86" spans="1:35" ht="16.5" customHeight="1" x14ac:dyDescent="0.25">
      <c r="A86" s="3" t="s">
        <v>128</v>
      </c>
      <c r="B86" s="3" t="s">
        <v>1305</v>
      </c>
      <c r="C86" s="3" t="s">
        <v>359</v>
      </c>
      <c r="D86" s="3" t="s">
        <v>202</v>
      </c>
      <c r="E86" s="3" t="s">
        <v>340</v>
      </c>
      <c r="F86" s="3">
        <v>2019</v>
      </c>
      <c r="G86" s="3" t="s">
        <v>255</v>
      </c>
      <c r="H86" s="3" t="s">
        <v>13</v>
      </c>
      <c r="I86" s="3" t="s">
        <v>381</v>
      </c>
      <c r="J86" s="3" t="s">
        <v>372</v>
      </c>
      <c r="K86" s="3" t="s">
        <v>11</v>
      </c>
      <c r="L86" s="3" t="s">
        <v>19</v>
      </c>
      <c r="M86" s="3" t="s">
        <v>21</v>
      </c>
      <c r="N86" s="3" t="s">
        <v>449</v>
      </c>
      <c r="O86" s="3" t="s">
        <v>33</v>
      </c>
      <c r="P86" s="3" t="s">
        <v>37</v>
      </c>
      <c r="Q86" s="3" t="s">
        <v>17</v>
      </c>
      <c r="R86" s="3" t="s">
        <v>17</v>
      </c>
      <c r="S86" s="3" t="s">
        <v>17</v>
      </c>
      <c r="T86" s="3" t="s">
        <v>17</v>
      </c>
      <c r="U86" s="3" t="s">
        <v>17</v>
      </c>
      <c r="V86" s="3" t="s">
        <v>17</v>
      </c>
      <c r="W86" s="3" t="s">
        <v>17</v>
      </c>
      <c r="X86" s="3" t="s">
        <v>17</v>
      </c>
      <c r="Y86" s="3" t="s">
        <v>461</v>
      </c>
      <c r="Z86" s="3" t="s">
        <v>17</v>
      </c>
      <c r="AA86" s="3" t="s">
        <v>17</v>
      </c>
      <c r="AB86" s="3" t="s">
        <v>17</v>
      </c>
      <c r="AC86" s="3" t="s">
        <v>17</v>
      </c>
      <c r="AD86" s="3" t="s">
        <v>17</v>
      </c>
      <c r="AE86" s="3" t="s">
        <v>931</v>
      </c>
      <c r="AF86" s="3" t="s">
        <v>932</v>
      </c>
      <c r="AG86" s="3" t="s">
        <v>936</v>
      </c>
      <c r="AH86" s="3" t="s">
        <v>934</v>
      </c>
      <c r="AI86" s="3" t="s">
        <v>935</v>
      </c>
    </row>
    <row r="87" spans="1:35" ht="16.5" customHeight="1" x14ac:dyDescent="0.25">
      <c r="A87" s="3" t="s">
        <v>129</v>
      </c>
      <c r="B87" s="3" t="s">
        <v>1306</v>
      </c>
      <c r="C87" s="3" t="s">
        <v>359</v>
      </c>
      <c r="D87" s="3" t="s">
        <v>201</v>
      </c>
      <c r="E87" s="3" t="s">
        <v>341</v>
      </c>
      <c r="F87" s="3">
        <v>2022</v>
      </c>
      <c r="G87" s="3" t="s">
        <v>254</v>
      </c>
      <c r="H87" s="3" t="s">
        <v>13</v>
      </c>
      <c r="I87" s="3" t="s">
        <v>381</v>
      </c>
      <c r="J87" s="3" t="s">
        <v>372</v>
      </c>
      <c r="K87" s="3" t="s">
        <v>386</v>
      </c>
      <c r="L87" s="3" t="s">
        <v>19</v>
      </c>
      <c r="M87" s="3" t="s">
        <v>21</v>
      </c>
      <c r="N87" s="3" t="s">
        <v>449</v>
      </c>
      <c r="O87" s="3" t="s">
        <v>33</v>
      </c>
      <c r="P87" s="3" t="s">
        <v>37</v>
      </c>
      <c r="Q87" s="3" t="s">
        <v>17</v>
      </c>
      <c r="R87" s="3" t="s">
        <v>24</v>
      </c>
      <c r="S87" s="3" t="s">
        <v>17</v>
      </c>
      <c r="T87" s="3" t="s">
        <v>17</v>
      </c>
      <c r="U87" s="3" t="s">
        <v>17</v>
      </c>
      <c r="V87" s="3" t="s">
        <v>17</v>
      </c>
      <c r="W87" s="3" t="s">
        <v>541</v>
      </c>
      <c r="X87" s="3" t="s">
        <v>17</v>
      </c>
      <c r="Y87" s="3" t="s">
        <v>461</v>
      </c>
      <c r="Z87" s="3" t="s">
        <v>17</v>
      </c>
      <c r="AA87" s="3" t="s">
        <v>17</v>
      </c>
      <c r="AB87" s="3" t="s">
        <v>17</v>
      </c>
      <c r="AC87" s="3" t="s">
        <v>17</v>
      </c>
      <c r="AD87" s="3" t="s">
        <v>17</v>
      </c>
      <c r="AE87" s="3" t="s">
        <v>943</v>
      </c>
      <c r="AF87" s="3" t="s">
        <v>932</v>
      </c>
      <c r="AG87" s="3" t="s">
        <v>933</v>
      </c>
      <c r="AH87" s="3" t="s">
        <v>934</v>
      </c>
      <c r="AI87" s="3" t="s">
        <v>944</v>
      </c>
    </row>
    <row r="88" spans="1:35" ht="16.5" customHeight="1" x14ac:dyDescent="0.25">
      <c r="A88" s="3" t="s">
        <v>130</v>
      </c>
      <c r="B88" s="3" t="s">
        <v>1307</v>
      </c>
      <c r="C88" s="3" t="s">
        <v>359</v>
      </c>
      <c r="D88" s="3" t="s">
        <v>1125</v>
      </c>
      <c r="E88" s="3" t="s">
        <v>342</v>
      </c>
      <c r="F88" s="3">
        <v>2021</v>
      </c>
      <c r="G88" s="3" t="s">
        <v>256</v>
      </c>
      <c r="H88" s="3" t="s">
        <v>17</v>
      </c>
      <c r="I88" s="3" t="s">
        <v>17</v>
      </c>
      <c r="J88" s="3" t="s">
        <v>17</v>
      </c>
      <c r="K88" s="3" t="s">
        <v>17</v>
      </c>
      <c r="L88" s="3" t="s">
        <v>19</v>
      </c>
      <c r="M88" s="3" t="s">
        <v>23</v>
      </c>
      <c r="N88" s="3" t="s">
        <v>449</v>
      </c>
      <c r="O88" s="3" t="s">
        <v>35</v>
      </c>
      <c r="P88" s="3" t="s">
        <v>363</v>
      </c>
      <c r="Q88" s="3" t="s">
        <v>371</v>
      </c>
      <c r="R88" s="3" t="s">
        <v>24</v>
      </c>
      <c r="S88" s="3" t="s">
        <v>27</v>
      </c>
      <c r="T88" s="3">
        <v>25</v>
      </c>
      <c r="U88" s="3" t="s">
        <v>602</v>
      </c>
      <c r="V88" s="3">
        <v>2</v>
      </c>
      <c r="W88" s="3" t="s">
        <v>541</v>
      </c>
      <c r="X88" s="3" t="s">
        <v>667</v>
      </c>
      <c r="Y88" s="3" t="s">
        <v>461</v>
      </c>
      <c r="Z88" s="3" t="s">
        <v>17</v>
      </c>
      <c r="AA88" s="3" t="s">
        <v>17</v>
      </c>
      <c r="AB88" s="3" t="s">
        <v>510</v>
      </c>
      <c r="AC88" s="3" t="s">
        <v>938</v>
      </c>
      <c r="AD88" s="3" t="s">
        <v>937</v>
      </c>
      <c r="AE88" s="3" t="s">
        <v>939</v>
      </c>
      <c r="AF88" s="3" t="s">
        <v>940</v>
      </c>
      <c r="AG88" s="3" t="s">
        <v>1156</v>
      </c>
      <c r="AH88" s="3" t="s">
        <v>941</v>
      </c>
      <c r="AI88" s="3" t="s">
        <v>942</v>
      </c>
    </row>
    <row r="89" spans="1:35" ht="16.5" customHeight="1" x14ac:dyDescent="0.25">
      <c r="A89" s="3" t="s">
        <v>131</v>
      </c>
      <c r="B89" s="3" t="s">
        <v>1308</v>
      </c>
      <c r="C89" s="3" t="s">
        <v>358</v>
      </c>
      <c r="D89" s="3" t="s">
        <v>203</v>
      </c>
      <c r="E89" s="3" t="s">
        <v>1272</v>
      </c>
      <c r="F89" s="3">
        <v>2023</v>
      </c>
      <c r="G89" s="3" t="s">
        <v>394</v>
      </c>
      <c r="H89" s="3" t="s">
        <v>15</v>
      </c>
      <c r="I89" s="3" t="s">
        <v>375</v>
      </c>
      <c r="J89" s="3" t="s">
        <v>372</v>
      </c>
      <c r="K89" s="3" t="s">
        <v>380</v>
      </c>
      <c r="L89" s="3" t="s">
        <v>19</v>
      </c>
      <c r="M89" s="3" t="s">
        <v>22</v>
      </c>
      <c r="N89" s="3" t="s">
        <v>449</v>
      </c>
      <c r="O89" s="3" t="s">
        <v>35</v>
      </c>
      <c r="P89" s="3" t="s">
        <v>36</v>
      </c>
      <c r="Q89" s="3" t="s">
        <v>453</v>
      </c>
      <c r="R89" s="3" t="s">
        <v>602</v>
      </c>
      <c r="S89" s="3" t="s">
        <v>31</v>
      </c>
      <c r="T89" s="3" t="s">
        <v>945</v>
      </c>
      <c r="U89" s="3" t="s">
        <v>602</v>
      </c>
      <c r="V89" s="3" t="s">
        <v>17</v>
      </c>
      <c r="W89" s="3" t="s">
        <v>541</v>
      </c>
      <c r="X89" s="3" t="s">
        <v>628</v>
      </c>
      <c r="Y89" s="3" t="s">
        <v>461</v>
      </c>
      <c r="Z89" s="3" t="s">
        <v>17</v>
      </c>
      <c r="AA89" s="3" t="s">
        <v>456</v>
      </c>
      <c r="AB89" s="3" t="s">
        <v>17</v>
      </c>
      <c r="AC89" s="3" t="s">
        <v>764</v>
      </c>
      <c r="AD89" s="3" t="s">
        <v>946</v>
      </c>
      <c r="AE89" s="3" t="s">
        <v>947</v>
      </c>
      <c r="AF89" s="3" t="s">
        <v>17</v>
      </c>
      <c r="AG89" s="3" t="s">
        <v>948</v>
      </c>
      <c r="AH89" s="3" t="s">
        <v>949</v>
      </c>
      <c r="AI89" s="3" t="s">
        <v>950</v>
      </c>
    </row>
    <row r="90" spans="1:35" ht="16.5" customHeight="1" x14ac:dyDescent="0.25">
      <c r="A90" s="3" t="s">
        <v>133</v>
      </c>
      <c r="B90" s="3" t="s">
        <v>1309</v>
      </c>
      <c r="C90" s="3" t="s">
        <v>358</v>
      </c>
      <c r="D90" s="3" t="s">
        <v>205</v>
      </c>
      <c r="E90" s="3" t="s">
        <v>344</v>
      </c>
      <c r="F90" s="3">
        <v>2023</v>
      </c>
      <c r="G90" s="3" t="s">
        <v>258</v>
      </c>
      <c r="H90" s="3" t="s">
        <v>13</v>
      </c>
      <c r="I90" s="3" t="s">
        <v>374</v>
      </c>
      <c r="J90" s="3" t="s">
        <v>372</v>
      </c>
      <c r="K90" s="3" t="s">
        <v>11</v>
      </c>
      <c r="L90" s="3" t="s">
        <v>19</v>
      </c>
      <c r="M90" s="3" t="s">
        <v>21</v>
      </c>
      <c r="N90" s="3" t="s">
        <v>449</v>
      </c>
      <c r="O90" s="3" t="s">
        <v>33</v>
      </c>
      <c r="P90" s="3" t="s">
        <v>367</v>
      </c>
      <c r="Q90" s="3" t="s">
        <v>951</v>
      </c>
      <c r="R90" s="3" t="s">
        <v>24</v>
      </c>
      <c r="S90" s="3" t="s">
        <v>27</v>
      </c>
      <c r="T90" s="3">
        <v>173</v>
      </c>
      <c r="U90" s="3" t="s">
        <v>602</v>
      </c>
      <c r="V90" s="3" t="s">
        <v>17</v>
      </c>
      <c r="W90" s="3" t="s">
        <v>541</v>
      </c>
      <c r="X90" s="3" t="s">
        <v>564</v>
      </c>
      <c r="Y90" s="3" t="s">
        <v>461</v>
      </c>
      <c r="Z90" s="3" t="s">
        <v>17</v>
      </c>
      <c r="AA90" s="3" t="s">
        <v>17</v>
      </c>
      <c r="AB90" s="3" t="s">
        <v>17</v>
      </c>
      <c r="AC90" s="3" t="s">
        <v>968</v>
      </c>
      <c r="AD90" s="3" t="s">
        <v>967</v>
      </c>
      <c r="AE90" s="3" t="s">
        <v>1157</v>
      </c>
      <c r="AF90" s="3" t="s">
        <v>969</v>
      </c>
      <c r="AG90" s="3" t="s">
        <v>1158</v>
      </c>
      <c r="AH90" s="3" t="s">
        <v>970</v>
      </c>
      <c r="AI90" s="3" t="s">
        <v>971</v>
      </c>
    </row>
    <row r="91" spans="1:35" ht="16.5" customHeight="1" x14ac:dyDescent="0.25">
      <c r="A91" s="3" t="s">
        <v>132</v>
      </c>
      <c r="B91" s="3" t="s">
        <v>1309</v>
      </c>
      <c r="C91" s="3" t="s">
        <v>358</v>
      </c>
      <c r="D91" s="3" t="s">
        <v>204</v>
      </c>
      <c r="E91" s="3" t="s">
        <v>343</v>
      </c>
      <c r="F91" s="3">
        <v>2023</v>
      </c>
      <c r="G91" s="3" t="s">
        <v>257</v>
      </c>
      <c r="H91" s="3" t="s">
        <v>14</v>
      </c>
      <c r="I91" s="3" t="s">
        <v>375</v>
      </c>
      <c r="J91" s="3" t="s">
        <v>372</v>
      </c>
      <c r="K91" s="3" t="s">
        <v>11</v>
      </c>
      <c r="L91" s="3" t="s">
        <v>19</v>
      </c>
      <c r="M91" s="3" t="s">
        <v>21</v>
      </c>
      <c r="N91" s="3" t="s">
        <v>449</v>
      </c>
      <c r="O91" s="3" t="s">
        <v>33</v>
      </c>
      <c r="P91" s="3" t="s">
        <v>367</v>
      </c>
      <c r="Q91" s="3" t="s">
        <v>951</v>
      </c>
      <c r="R91" s="3" t="s">
        <v>24</v>
      </c>
      <c r="S91" s="3" t="s">
        <v>27</v>
      </c>
      <c r="T91" s="3">
        <v>11</v>
      </c>
      <c r="U91" s="3" t="s">
        <v>361</v>
      </c>
      <c r="V91" s="3">
        <v>3</v>
      </c>
      <c r="W91" s="3" t="s">
        <v>952</v>
      </c>
      <c r="X91" s="3" t="s">
        <v>953</v>
      </c>
      <c r="Y91" s="3" t="s">
        <v>461</v>
      </c>
      <c r="Z91" s="3" t="s">
        <v>602</v>
      </c>
      <c r="AA91" s="3" t="s">
        <v>17</v>
      </c>
      <c r="AB91" s="3" t="s">
        <v>954</v>
      </c>
      <c r="AC91" s="3" t="s">
        <v>955</v>
      </c>
      <c r="AD91" s="3" t="s">
        <v>956</v>
      </c>
      <c r="AE91" s="3" t="s">
        <v>959</v>
      </c>
      <c r="AF91" s="3" t="s">
        <v>17</v>
      </c>
      <c r="AG91" s="3" t="s">
        <v>957</v>
      </c>
      <c r="AH91" s="3" t="s">
        <v>965</v>
      </c>
      <c r="AI91" s="3" t="s">
        <v>958</v>
      </c>
    </row>
    <row r="92" spans="1:35" ht="16.5" customHeight="1" x14ac:dyDescent="0.25">
      <c r="A92" s="3" t="s">
        <v>134</v>
      </c>
      <c r="B92" s="3" t="s">
        <v>1310</v>
      </c>
      <c r="C92" s="3" t="s">
        <v>358</v>
      </c>
      <c r="D92" s="3" t="s">
        <v>206</v>
      </c>
      <c r="E92" s="3" t="s">
        <v>345</v>
      </c>
      <c r="F92" s="3">
        <v>2019</v>
      </c>
      <c r="G92" s="3" t="s">
        <v>259</v>
      </c>
      <c r="H92" s="3" t="s">
        <v>13</v>
      </c>
      <c r="I92" s="3" t="s">
        <v>375</v>
      </c>
      <c r="J92" s="3" t="s">
        <v>372</v>
      </c>
      <c r="K92" s="3" t="s">
        <v>11</v>
      </c>
      <c r="L92" s="3" t="s">
        <v>19</v>
      </c>
      <c r="M92" s="3" t="s">
        <v>23</v>
      </c>
      <c r="N92" s="3" t="s">
        <v>449</v>
      </c>
      <c r="O92" s="3" t="s">
        <v>33</v>
      </c>
      <c r="P92" s="3" t="s">
        <v>36</v>
      </c>
      <c r="Q92" s="3" t="s">
        <v>424</v>
      </c>
      <c r="R92" s="3" t="s">
        <v>24</v>
      </c>
      <c r="S92" s="3" t="s">
        <v>27</v>
      </c>
      <c r="T92" s="3">
        <v>3</v>
      </c>
      <c r="U92" s="3" t="s">
        <v>360</v>
      </c>
      <c r="V92" s="3">
        <v>0</v>
      </c>
      <c r="W92" s="3" t="s">
        <v>541</v>
      </c>
      <c r="X92" s="3" t="s">
        <v>564</v>
      </c>
      <c r="Y92" s="3" t="s">
        <v>459</v>
      </c>
      <c r="Z92" s="3" t="s">
        <v>368</v>
      </c>
      <c r="AA92" s="3" t="s">
        <v>31</v>
      </c>
      <c r="AB92" s="3" t="s">
        <v>17</v>
      </c>
      <c r="AC92" s="3" t="s">
        <v>961</v>
      </c>
      <c r="AD92" s="3" t="s">
        <v>960</v>
      </c>
      <c r="AE92" s="3" t="s">
        <v>962</v>
      </c>
      <c r="AF92" s="3" t="s">
        <v>17</v>
      </c>
      <c r="AG92" s="3" t="s">
        <v>963</v>
      </c>
      <c r="AH92" s="3" t="s">
        <v>964</v>
      </c>
      <c r="AI92" s="3" t="s">
        <v>966</v>
      </c>
    </row>
    <row r="93" spans="1:35" ht="16.5" customHeight="1" x14ac:dyDescent="0.25">
      <c r="A93" s="3" t="s">
        <v>135</v>
      </c>
      <c r="B93" s="3" t="s">
        <v>1311</v>
      </c>
      <c r="C93" s="3" t="s">
        <v>358</v>
      </c>
      <c r="D93" s="3" t="s">
        <v>207</v>
      </c>
      <c r="E93" s="3" t="s">
        <v>346</v>
      </c>
      <c r="F93" s="3">
        <v>2023</v>
      </c>
      <c r="G93" s="3" t="s">
        <v>248</v>
      </c>
      <c r="H93" s="3" t="s">
        <v>14</v>
      </c>
      <c r="I93" s="3" t="s">
        <v>385</v>
      </c>
      <c r="J93" s="3" t="s">
        <v>372</v>
      </c>
      <c r="K93" s="3" t="s">
        <v>11</v>
      </c>
      <c r="L93" s="3" t="s">
        <v>19</v>
      </c>
      <c r="M93" s="3" t="s">
        <v>23</v>
      </c>
      <c r="N93" s="3" t="s">
        <v>449</v>
      </c>
      <c r="O93" s="3" t="s">
        <v>35</v>
      </c>
      <c r="P93" s="3" t="s">
        <v>363</v>
      </c>
      <c r="Q93" s="3" t="s">
        <v>972</v>
      </c>
      <c r="R93" s="3" t="s">
        <v>24</v>
      </c>
      <c r="S93" s="3" t="s">
        <v>30</v>
      </c>
      <c r="T93" s="3">
        <v>117</v>
      </c>
      <c r="U93" s="3" t="s">
        <v>602</v>
      </c>
      <c r="V93" s="3" t="s">
        <v>17</v>
      </c>
      <c r="W93" s="3" t="s">
        <v>541</v>
      </c>
      <c r="X93" s="3" t="s">
        <v>981</v>
      </c>
      <c r="Y93" s="3" t="s">
        <v>17</v>
      </c>
      <c r="Z93" s="3" t="s">
        <v>17</v>
      </c>
      <c r="AA93" s="3" t="s">
        <v>17</v>
      </c>
      <c r="AB93" s="3" t="s">
        <v>510</v>
      </c>
      <c r="AC93" s="3" t="s">
        <v>974</v>
      </c>
      <c r="AD93" s="3" t="s">
        <v>973</v>
      </c>
      <c r="AE93" s="3" t="s">
        <v>979</v>
      </c>
      <c r="AF93" s="3" t="s">
        <v>975</v>
      </c>
      <c r="AG93" s="3" t="s">
        <v>976</v>
      </c>
      <c r="AH93" s="3" t="s">
        <v>977</v>
      </c>
      <c r="AI93" s="3" t="s">
        <v>978</v>
      </c>
    </row>
    <row r="94" spans="1:35" ht="16.5" customHeight="1" x14ac:dyDescent="0.25">
      <c r="A94" s="3" t="s">
        <v>1025</v>
      </c>
      <c r="B94" s="3" t="s">
        <v>1312</v>
      </c>
      <c r="C94" s="3" t="s">
        <v>359</v>
      </c>
      <c r="D94" s="3" t="s">
        <v>208</v>
      </c>
      <c r="E94" s="3" t="s">
        <v>347</v>
      </c>
      <c r="F94" s="3">
        <v>2023</v>
      </c>
      <c r="G94" s="3" t="s">
        <v>260</v>
      </c>
      <c r="H94" s="4" t="s">
        <v>17</v>
      </c>
      <c r="I94" s="4" t="s">
        <v>17</v>
      </c>
      <c r="J94" s="4" t="s">
        <v>17</v>
      </c>
      <c r="K94" s="4" t="s">
        <v>17</v>
      </c>
      <c r="L94" s="3" t="s">
        <v>19</v>
      </c>
      <c r="M94" s="3" t="s">
        <v>23</v>
      </c>
      <c r="N94" s="3" t="s">
        <v>449</v>
      </c>
      <c r="O94" s="3" t="s">
        <v>34</v>
      </c>
      <c r="P94" s="3" t="s">
        <v>362</v>
      </c>
      <c r="Q94" s="3" t="s">
        <v>982</v>
      </c>
      <c r="R94" s="3" t="s">
        <v>24</v>
      </c>
      <c r="S94" s="3" t="s">
        <v>27</v>
      </c>
      <c r="T94" s="3">
        <v>65</v>
      </c>
      <c r="U94" s="3" t="s">
        <v>360</v>
      </c>
      <c r="V94" s="3">
        <v>3</v>
      </c>
      <c r="W94" s="3" t="s">
        <v>541</v>
      </c>
      <c r="X94" s="3" t="s">
        <v>597</v>
      </c>
      <c r="Y94" s="3" t="s">
        <v>17</v>
      </c>
      <c r="Z94" s="3" t="s">
        <v>17</v>
      </c>
      <c r="AA94" s="3" t="s">
        <v>17</v>
      </c>
      <c r="AB94" s="3" t="s">
        <v>515</v>
      </c>
      <c r="AC94" s="3" t="s">
        <v>984</v>
      </c>
      <c r="AD94" s="3" t="s">
        <v>983</v>
      </c>
      <c r="AE94" s="3" t="s">
        <v>987</v>
      </c>
      <c r="AF94" s="3" t="s">
        <v>17</v>
      </c>
      <c r="AG94" s="3" t="s">
        <v>988</v>
      </c>
      <c r="AH94" s="3" t="s">
        <v>985</v>
      </c>
      <c r="AI94" s="3" t="s">
        <v>986</v>
      </c>
    </row>
    <row r="95" spans="1:35" ht="16.5" customHeight="1" x14ac:dyDescent="0.25">
      <c r="A95" s="3" t="s">
        <v>1026</v>
      </c>
      <c r="B95" s="3" t="s">
        <v>1313</v>
      </c>
      <c r="C95" s="3" t="s">
        <v>359</v>
      </c>
      <c r="D95" s="3" t="s">
        <v>468</v>
      </c>
      <c r="E95" s="3" t="s">
        <v>471</v>
      </c>
      <c r="F95" s="3">
        <v>2016</v>
      </c>
      <c r="G95" s="3" t="s">
        <v>469</v>
      </c>
      <c r="H95" s="3" t="s">
        <v>15</v>
      </c>
      <c r="I95" s="3" t="s">
        <v>1042</v>
      </c>
      <c r="J95" s="3" t="s">
        <v>989</v>
      </c>
      <c r="K95" s="3" t="s">
        <v>1041</v>
      </c>
      <c r="L95" s="3" t="s">
        <v>19</v>
      </c>
      <c r="M95" s="3" t="s">
        <v>409</v>
      </c>
      <c r="N95" s="3" t="s">
        <v>449</v>
      </c>
      <c r="O95" s="3" t="s">
        <v>33</v>
      </c>
      <c r="P95" s="3" t="s">
        <v>36</v>
      </c>
      <c r="Q95" s="3" t="s">
        <v>453</v>
      </c>
      <c r="R95" s="3" t="s">
        <v>24</v>
      </c>
      <c r="S95" s="3" t="s">
        <v>31</v>
      </c>
      <c r="T95" s="3" t="s">
        <v>17</v>
      </c>
      <c r="U95" s="3" t="s">
        <v>602</v>
      </c>
      <c r="V95" s="3" t="s">
        <v>17</v>
      </c>
      <c r="W95" s="3" t="s">
        <v>541</v>
      </c>
      <c r="X95" s="3" t="s">
        <v>1257</v>
      </c>
      <c r="Y95" s="3" t="s">
        <v>17</v>
      </c>
      <c r="Z95" s="3" t="s">
        <v>17</v>
      </c>
      <c r="AA95" s="3" t="s">
        <v>456</v>
      </c>
      <c r="AB95" s="3" t="s">
        <v>1259</v>
      </c>
      <c r="AC95" s="3" t="s">
        <v>1261</v>
      </c>
      <c r="AD95" s="3" t="s">
        <v>1258</v>
      </c>
      <c r="AE95" s="3" t="s">
        <v>1260</v>
      </c>
      <c r="AF95" s="3" t="s">
        <v>1262</v>
      </c>
      <c r="AG95" s="3" t="s">
        <v>1263</v>
      </c>
      <c r="AH95" s="3" t="s">
        <v>1264</v>
      </c>
      <c r="AI95" s="3" t="s">
        <v>1265</v>
      </c>
    </row>
    <row r="96" spans="1:35" ht="16.5" customHeight="1" x14ac:dyDescent="0.25">
      <c r="A96" s="3" t="s">
        <v>1027</v>
      </c>
      <c r="B96" s="3" t="s">
        <v>338</v>
      </c>
      <c r="C96" s="3" t="s">
        <v>358</v>
      </c>
      <c r="D96" s="3" t="s">
        <v>1126</v>
      </c>
      <c r="E96" s="3" t="s">
        <v>348</v>
      </c>
      <c r="F96" s="3">
        <v>2024</v>
      </c>
      <c r="G96" s="3" t="s">
        <v>261</v>
      </c>
      <c r="H96" s="3" t="s">
        <v>13</v>
      </c>
      <c r="I96" s="3" t="s">
        <v>374</v>
      </c>
      <c r="J96" s="3" t="s">
        <v>372</v>
      </c>
      <c r="K96" s="3" t="s">
        <v>11</v>
      </c>
      <c r="L96" s="3" t="s">
        <v>19</v>
      </c>
      <c r="M96" s="3" t="s">
        <v>23</v>
      </c>
      <c r="N96" s="3" t="s">
        <v>449</v>
      </c>
      <c r="O96" s="3" t="s">
        <v>33</v>
      </c>
      <c r="P96" s="3" t="s">
        <v>36</v>
      </c>
      <c r="Q96" s="3" t="s">
        <v>453</v>
      </c>
      <c r="R96" s="3" t="s">
        <v>24</v>
      </c>
      <c r="S96" s="3" t="s">
        <v>31</v>
      </c>
      <c r="T96" s="3" t="s">
        <v>17</v>
      </c>
      <c r="U96" s="3" t="s">
        <v>602</v>
      </c>
      <c r="V96" s="3" t="s">
        <v>17</v>
      </c>
      <c r="W96" s="3" t="s">
        <v>541</v>
      </c>
      <c r="X96" s="3" t="s">
        <v>597</v>
      </c>
      <c r="Y96" s="3" t="s">
        <v>452</v>
      </c>
      <c r="Z96" s="3" t="s">
        <v>602</v>
      </c>
      <c r="AA96" s="3" t="s">
        <v>456</v>
      </c>
      <c r="AB96" s="3" t="s">
        <v>989</v>
      </c>
      <c r="AC96" s="3" t="s">
        <v>990</v>
      </c>
      <c r="AD96" s="3" t="s">
        <v>1159</v>
      </c>
      <c r="AE96" s="3" t="s">
        <v>991</v>
      </c>
      <c r="AF96" s="3" t="s">
        <v>1160</v>
      </c>
      <c r="AG96" s="3" t="s">
        <v>1161</v>
      </c>
      <c r="AH96" s="3" t="s">
        <v>1162</v>
      </c>
      <c r="AI96" s="3" t="s">
        <v>1163</v>
      </c>
    </row>
    <row r="97" spans="1:35" ht="16.5" customHeight="1" x14ac:dyDescent="0.25">
      <c r="A97" s="3" t="s">
        <v>1028</v>
      </c>
      <c r="B97" s="3" t="s">
        <v>1314</v>
      </c>
      <c r="C97" s="3" t="s">
        <v>359</v>
      </c>
      <c r="D97" s="3" t="s">
        <v>209</v>
      </c>
      <c r="E97" s="3" t="s">
        <v>349</v>
      </c>
      <c r="F97" s="3">
        <v>2023</v>
      </c>
      <c r="G97" s="3" t="s">
        <v>261</v>
      </c>
      <c r="H97" s="3" t="s">
        <v>13</v>
      </c>
      <c r="I97" s="3" t="s">
        <v>374</v>
      </c>
      <c r="J97" s="3" t="s">
        <v>372</v>
      </c>
      <c r="K97" s="3" t="s">
        <v>382</v>
      </c>
      <c r="L97" s="3" t="s">
        <v>19</v>
      </c>
      <c r="M97" s="3" t="s">
        <v>21</v>
      </c>
      <c r="N97" s="3" t="s">
        <v>449</v>
      </c>
      <c r="O97" s="3" t="s">
        <v>34</v>
      </c>
      <c r="P97" s="3" t="s">
        <v>362</v>
      </c>
      <c r="Q97" s="3" t="s">
        <v>992</v>
      </c>
      <c r="R97" s="3" t="s">
        <v>24</v>
      </c>
      <c r="S97" s="3" t="s">
        <v>27</v>
      </c>
      <c r="T97" s="3">
        <v>104</v>
      </c>
      <c r="U97" s="3" t="s">
        <v>360</v>
      </c>
      <c r="V97" s="3">
        <v>0</v>
      </c>
      <c r="W97" s="3" t="s">
        <v>541</v>
      </c>
      <c r="X97" s="3" t="s">
        <v>564</v>
      </c>
      <c r="Y97" s="3" t="s">
        <v>17</v>
      </c>
      <c r="Z97" s="3" t="s">
        <v>2</v>
      </c>
      <c r="AA97" s="3" t="s">
        <v>17</v>
      </c>
      <c r="AB97" s="3" t="s">
        <v>989</v>
      </c>
      <c r="AC97" s="3" t="s">
        <v>993</v>
      </c>
      <c r="AD97" s="3" t="s">
        <v>1164</v>
      </c>
      <c r="AE97" s="3" t="s">
        <v>995</v>
      </c>
      <c r="AF97" s="3" t="s">
        <v>994</v>
      </c>
      <c r="AG97" s="3" t="s">
        <v>996</v>
      </c>
      <c r="AH97" s="3" t="s">
        <v>997</v>
      </c>
      <c r="AI97" s="3" t="s">
        <v>998</v>
      </c>
    </row>
    <row r="98" spans="1:35" ht="16.5" customHeight="1" x14ac:dyDescent="0.25">
      <c r="A98" s="3" t="s">
        <v>1029</v>
      </c>
      <c r="B98" s="3" t="s">
        <v>1315</v>
      </c>
      <c r="C98" s="3" t="s">
        <v>359</v>
      </c>
      <c r="D98" s="3" t="s">
        <v>210</v>
      </c>
      <c r="E98" s="3" t="s">
        <v>17</v>
      </c>
      <c r="F98" s="3">
        <v>2019</v>
      </c>
      <c r="G98" s="3" t="s">
        <v>262</v>
      </c>
      <c r="H98" s="3" t="s">
        <v>17</v>
      </c>
      <c r="I98" s="3" t="s">
        <v>17</v>
      </c>
      <c r="J98" s="3" t="s">
        <v>17</v>
      </c>
      <c r="K98" s="3" t="s">
        <v>17</v>
      </c>
      <c r="L98" s="3" t="s">
        <v>19</v>
      </c>
      <c r="M98" s="3" t="s">
        <v>23</v>
      </c>
      <c r="N98" s="3" t="s">
        <v>449</v>
      </c>
      <c r="O98" s="3" t="s">
        <v>33</v>
      </c>
      <c r="P98" s="3" t="s">
        <v>364</v>
      </c>
      <c r="Q98" s="3" t="s">
        <v>374</v>
      </c>
      <c r="R98" s="3" t="s">
        <v>454</v>
      </c>
      <c r="S98" s="3" t="s">
        <v>30</v>
      </c>
      <c r="T98" s="3">
        <v>14</v>
      </c>
      <c r="U98" s="3" t="s">
        <v>602</v>
      </c>
      <c r="V98" s="3">
        <v>2</v>
      </c>
      <c r="W98" s="3" t="s">
        <v>541</v>
      </c>
      <c r="X98" s="3" t="s">
        <v>667</v>
      </c>
      <c r="Y98" s="3" t="s">
        <v>452</v>
      </c>
      <c r="Z98" s="3" t="s">
        <v>602</v>
      </c>
      <c r="AA98" s="3" t="s">
        <v>456</v>
      </c>
      <c r="AB98" s="3" t="s">
        <v>999</v>
      </c>
      <c r="AC98" s="3" t="s">
        <v>864</v>
      </c>
      <c r="AD98" s="3" t="s">
        <v>1171</v>
      </c>
      <c r="AE98" s="3" t="s">
        <v>1000</v>
      </c>
      <c r="AF98" s="3" t="s">
        <v>1001</v>
      </c>
      <c r="AG98" s="3" t="s">
        <v>1165</v>
      </c>
      <c r="AH98" s="3" t="s">
        <v>1166</v>
      </c>
      <c r="AI98" s="3" t="s">
        <v>1002</v>
      </c>
    </row>
    <row r="99" spans="1:35" ht="16.5" customHeight="1" x14ac:dyDescent="0.25">
      <c r="A99" s="3" t="s">
        <v>1030</v>
      </c>
      <c r="B99" s="3" t="s">
        <v>1318</v>
      </c>
      <c r="C99" s="3" t="s">
        <v>358</v>
      </c>
      <c r="D99" s="3" t="s">
        <v>538</v>
      </c>
      <c r="E99" s="3" t="s">
        <v>537</v>
      </c>
      <c r="F99" s="3">
        <v>2022</v>
      </c>
      <c r="G99" s="3" t="s">
        <v>246</v>
      </c>
      <c r="H99" s="3" t="s">
        <v>13</v>
      </c>
      <c r="I99" s="3" t="s">
        <v>381</v>
      </c>
      <c r="J99" s="3" t="s">
        <v>372</v>
      </c>
      <c r="K99" s="3" t="s">
        <v>386</v>
      </c>
      <c r="L99" s="3" t="s">
        <v>20</v>
      </c>
      <c r="M99" s="3" t="s">
        <v>21</v>
      </c>
      <c r="N99" s="3" t="s">
        <v>449</v>
      </c>
      <c r="O99" s="3" t="s">
        <v>33</v>
      </c>
      <c r="P99" s="3" t="s">
        <v>366</v>
      </c>
      <c r="Q99" s="3" t="s">
        <v>405</v>
      </c>
      <c r="R99" s="3" t="s">
        <v>24</v>
      </c>
      <c r="S99" s="3" t="s">
        <v>29</v>
      </c>
      <c r="T99" s="3">
        <v>20</v>
      </c>
      <c r="U99" s="3" t="s">
        <v>360</v>
      </c>
      <c r="V99" s="3">
        <v>0</v>
      </c>
      <c r="W99" s="3" t="s">
        <v>541</v>
      </c>
      <c r="X99" s="3" t="s">
        <v>564</v>
      </c>
      <c r="Y99" s="3" t="s">
        <v>461</v>
      </c>
      <c r="Z99" s="3" t="s">
        <v>602</v>
      </c>
      <c r="AA99" s="3" t="s">
        <v>456</v>
      </c>
      <c r="AB99" s="3" t="s">
        <v>17</v>
      </c>
      <c r="AC99" s="3" t="s">
        <v>790</v>
      </c>
      <c r="AD99" s="3" t="s">
        <v>815</v>
      </c>
      <c r="AE99" s="3" t="s">
        <v>816</v>
      </c>
      <c r="AF99" s="3" t="s">
        <v>817</v>
      </c>
      <c r="AG99" s="3" t="s">
        <v>1149</v>
      </c>
      <c r="AH99" s="3" t="s">
        <v>1150</v>
      </c>
      <c r="AI99" s="3" t="s">
        <v>818</v>
      </c>
    </row>
    <row r="100" spans="1:35" ht="16.5" customHeight="1" x14ac:dyDescent="0.25">
      <c r="A100" s="3" t="s">
        <v>1031</v>
      </c>
      <c r="B100" s="3" t="s">
        <v>407</v>
      </c>
      <c r="C100" s="3" t="s">
        <v>359</v>
      </c>
      <c r="D100" s="3" t="s">
        <v>1319</v>
      </c>
      <c r="E100" s="3" t="s">
        <v>350</v>
      </c>
      <c r="F100" s="3">
        <v>2022</v>
      </c>
      <c r="G100" s="3" t="s">
        <v>263</v>
      </c>
      <c r="H100" s="3" t="s">
        <v>16</v>
      </c>
      <c r="I100" s="3" t="s">
        <v>405</v>
      </c>
      <c r="J100" s="3" t="s">
        <v>372</v>
      </c>
      <c r="K100" s="3" t="s">
        <v>11</v>
      </c>
      <c r="L100" s="3" t="s">
        <v>20</v>
      </c>
      <c r="M100" s="3" t="s">
        <v>21</v>
      </c>
      <c r="N100" s="3" t="s">
        <v>449</v>
      </c>
      <c r="O100" s="3" t="s">
        <v>34</v>
      </c>
      <c r="P100" s="3" t="s">
        <v>367</v>
      </c>
      <c r="Q100" s="3" t="s">
        <v>1003</v>
      </c>
      <c r="R100" s="3" t="s">
        <v>24</v>
      </c>
      <c r="S100" s="3" t="s">
        <v>31</v>
      </c>
      <c r="T100" s="3">
        <v>30</v>
      </c>
      <c r="U100" s="3" t="s">
        <v>360</v>
      </c>
      <c r="V100" s="3">
        <v>2</v>
      </c>
      <c r="W100" s="3" t="s">
        <v>541</v>
      </c>
      <c r="X100" s="3" t="s">
        <v>597</v>
      </c>
      <c r="Y100" s="3" t="s">
        <v>17</v>
      </c>
      <c r="Z100" s="3" t="s">
        <v>602</v>
      </c>
      <c r="AA100" s="3" t="s">
        <v>456</v>
      </c>
      <c r="AB100" s="3" t="s">
        <v>1005</v>
      </c>
      <c r="AC100" s="3" t="s">
        <v>1006</v>
      </c>
      <c r="AD100" s="3" t="s">
        <v>1004</v>
      </c>
      <c r="AE100" s="3" t="s">
        <v>1007</v>
      </c>
      <c r="AF100" s="3" t="s">
        <v>1008</v>
      </c>
      <c r="AG100" s="3" t="s">
        <v>1009</v>
      </c>
      <c r="AH100" s="3" t="s">
        <v>1010</v>
      </c>
      <c r="AI100" s="3" t="s">
        <v>1011</v>
      </c>
    </row>
    <row r="101" spans="1:35" ht="16.5" customHeight="1" x14ac:dyDescent="0.25">
      <c r="A101" s="3" t="s">
        <v>1032</v>
      </c>
      <c r="B101" s="3" t="s">
        <v>1316</v>
      </c>
      <c r="C101" s="3" t="s">
        <v>359</v>
      </c>
      <c r="D101" s="3" t="s">
        <v>505</v>
      </c>
      <c r="E101" s="3" t="s">
        <v>1037</v>
      </c>
      <c r="F101" s="3">
        <v>2017</v>
      </c>
      <c r="G101" s="3" t="s">
        <v>1044</v>
      </c>
      <c r="H101" s="3" t="s">
        <v>15</v>
      </c>
      <c r="I101" s="3" t="s">
        <v>1045</v>
      </c>
      <c r="J101" s="3" t="s">
        <v>372</v>
      </c>
      <c r="K101" s="3" t="s">
        <v>11</v>
      </c>
      <c r="L101" s="3" t="s">
        <v>19</v>
      </c>
      <c r="M101" s="3" t="s">
        <v>409</v>
      </c>
      <c r="N101" s="3" t="s">
        <v>449</v>
      </c>
      <c r="O101" s="3" t="s">
        <v>35</v>
      </c>
      <c r="P101" s="3" t="s">
        <v>363</v>
      </c>
      <c r="Q101" s="3" t="s">
        <v>1040</v>
      </c>
      <c r="R101" s="3" t="s">
        <v>17</v>
      </c>
      <c r="S101" s="3" t="s">
        <v>29</v>
      </c>
      <c r="T101" s="3">
        <v>49</v>
      </c>
      <c r="U101" s="3" t="s">
        <v>17</v>
      </c>
      <c r="V101" s="3" t="s">
        <v>17</v>
      </c>
      <c r="W101" s="3" t="s">
        <v>17</v>
      </c>
      <c r="X101" s="3" t="s">
        <v>17</v>
      </c>
      <c r="Y101" s="3" t="s">
        <v>459</v>
      </c>
      <c r="Z101" s="3" t="s">
        <v>602</v>
      </c>
      <c r="AA101" s="3" t="s">
        <v>456</v>
      </c>
      <c r="AB101" s="3" t="s">
        <v>17</v>
      </c>
      <c r="AC101" s="3" t="s">
        <v>1269</v>
      </c>
      <c r="AD101" s="3" t="s">
        <v>1266</v>
      </c>
      <c r="AE101" s="3" t="s">
        <v>1267</v>
      </c>
      <c r="AF101" s="3" t="s">
        <v>1268</v>
      </c>
      <c r="AG101" s="3" t="s">
        <v>1270</v>
      </c>
      <c r="AH101" s="3" t="s">
        <v>1271</v>
      </c>
      <c r="AI101" s="3" t="s">
        <v>17</v>
      </c>
    </row>
    <row r="102" spans="1:35" ht="16.5" customHeight="1" x14ac:dyDescent="0.25">
      <c r="A102" s="3" t="s">
        <v>1033</v>
      </c>
      <c r="B102" s="3" t="s">
        <v>339</v>
      </c>
      <c r="C102" s="3" t="s">
        <v>358</v>
      </c>
      <c r="D102" s="3" t="s">
        <v>211</v>
      </c>
      <c r="E102" s="3" t="s">
        <v>351</v>
      </c>
      <c r="F102" s="3">
        <v>2021</v>
      </c>
      <c r="G102" s="3" t="s">
        <v>264</v>
      </c>
      <c r="H102" s="3" t="s">
        <v>15</v>
      </c>
      <c r="I102" s="3" t="s">
        <v>384</v>
      </c>
      <c r="J102" s="3" t="s">
        <v>372</v>
      </c>
      <c r="K102" s="3" t="s">
        <v>11</v>
      </c>
      <c r="L102" s="3" t="s">
        <v>19</v>
      </c>
      <c r="M102" s="3" t="s">
        <v>23</v>
      </c>
      <c r="N102" s="3" t="s">
        <v>449</v>
      </c>
      <c r="O102" s="3" t="s">
        <v>33</v>
      </c>
      <c r="P102" s="3" t="s">
        <v>36</v>
      </c>
      <c r="Q102" s="3" t="s">
        <v>384</v>
      </c>
      <c r="R102" s="3" t="s">
        <v>454</v>
      </c>
      <c r="S102" s="3" t="s">
        <v>31</v>
      </c>
      <c r="T102" s="3">
        <v>5</v>
      </c>
      <c r="U102" s="3" t="s">
        <v>360</v>
      </c>
      <c r="V102" s="3" t="s">
        <v>17</v>
      </c>
      <c r="W102" s="3" t="s">
        <v>1407</v>
      </c>
      <c r="X102" s="3" t="s">
        <v>597</v>
      </c>
      <c r="Y102" s="3" t="s">
        <v>17</v>
      </c>
      <c r="Z102" s="3" t="s">
        <v>17</v>
      </c>
      <c r="AA102" s="3" t="s">
        <v>31</v>
      </c>
      <c r="AB102" s="3" t="s">
        <v>1014</v>
      </c>
      <c r="AC102" s="3" t="s">
        <v>712</v>
      </c>
      <c r="AD102" s="3" t="s">
        <v>1013</v>
      </c>
      <c r="AE102" s="3" t="s">
        <v>1015</v>
      </c>
      <c r="AF102" s="3" t="s">
        <v>17</v>
      </c>
      <c r="AG102" s="3" t="s">
        <v>1016</v>
      </c>
      <c r="AH102" s="3" t="s">
        <v>1017</v>
      </c>
      <c r="AI102" s="3" t="s">
        <v>1018</v>
      </c>
    </row>
    <row r="103" spans="1:35" ht="16.5" customHeight="1" x14ac:dyDescent="0.25">
      <c r="A103" s="3" t="s">
        <v>1034</v>
      </c>
      <c r="B103" s="3" t="s">
        <v>1317</v>
      </c>
      <c r="C103" s="3" t="s">
        <v>358</v>
      </c>
      <c r="D103" s="3" t="s">
        <v>212</v>
      </c>
      <c r="E103" s="3" t="s">
        <v>352</v>
      </c>
      <c r="F103" s="3">
        <v>2015</v>
      </c>
      <c r="G103" s="3" t="s">
        <v>403</v>
      </c>
      <c r="H103" s="3" t="s">
        <v>13</v>
      </c>
      <c r="I103" s="3" t="s">
        <v>375</v>
      </c>
      <c r="J103" s="3" t="s">
        <v>372</v>
      </c>
      <c r="K103" s="3" t="s">
        <v>11</v>
      </c>
      <c r="L103" s="3" t="s">
        <v>19</v>
      </c>
      <c r="M103" s="3" t="s">
        <v>23</v>
      </c>
      <c r="N103" s="3" t="s">
        <v>449</v>
      </c>
      <c r="O103" s="3" t="s">
        <v>33</v>
      </c>
      <c r="P103" s="3" t="s">
        <v>36</v>
      </c>
      <c r="Q103" s="3" t="s">
        <v>384</v>
      </c>
      <c r="R103" s="3" t="s">
        <v>454</v>
      </c>
      <c r="S103" s="3" t="s">
        <v>31</v>
      </c>
      <c r="T103" s="3">
        <v>3</v>
      </c>
      <c r="U103" s="3" t="s">
        <v>360</v>
      </c>
      <c r="V103" s="3">
        <v>3</v>
      </c>
      <c r="W103" s="3" t="s">
        <v>952</v>
      </c>
      <c r="X103" s="3" t="s">
        <v>1019</v>
      </c>
      <c r="Y103" s="3" t="s">
        <v>17</v>
      </c>
      <c r="Z103" s="3" t="s">
        <v>602</v>
      </c>
      <c r="AA103" s="3" t="s">
        <v>462</v>
      </c>
      <c r="AB103" s="3" t="s">
        <v>1014</v>
      </c>
      <c r="AC103" s="3" t="s">
        <v>1006</v>
      </c>
      <c r="AD103" s="3" t="s">
        <v>1020</v>
      </c>
      <c r="AE103" s="3" t="s">
        <v>1021</v>
      </c>
      <c r="AF103" s="3" t="s">
        <v>17</v>
      </c>
      <c r="AG103" s="3" t="s">
        <v>1022</v>
      </c>
      <c r="AH103" s="3" t="s">
        <v>1023</v>
      </c>
      <c r="AI103" s="3" t="s">
        <v>1024</v>
      </c>
    </row>
  </sheetData>
  <dataConsolidate/>
  <phoneticPr fontId="2" type="noConversion"/>
  <pageMargins left="0.7" right="0.7" top="0.75" bottom="0.75" header="0.3" footer="0.3"/>
  <pageSetup paperSize="9"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CA848-893C-4C56-AA64-A182A88E76BC}">
  <dimension ref="A1:B3"/>
  <sheetViews>
    <sheetView zoomScale="115" zoomScaleNormal="115" workbookViewId="0">
      <selection activeCell="B9" sqref="B9"/>
    </sheetView>
  </sheetViews>
  <sheetFormatPr baseColWidth="10" defaultRowHeight="15" x14ac:dyDescent="0.25"/>
  <cols>
    <col min="1" max="1" width="19.42578125" customWidth="1"/>
    <col min="2" max="2" width="79.7109375" bestFit="1" customWidth="1"/>
  </cols>
  <sheetData>
    <row r="1" spans="1:2" ht="21.75" customHeight="1" x14ac:dyDescent="0.25">
      <c r="A1" s="12" t="s">
        <v>8</v>
      </c>
      <c r="B1" s="12" t="s">
        <v>1422</v>
      </c>
    </row>
    <row r="2" spans="1:2" ht="32.25" customHeight="1" x14ac:dyDescent="0.25">
      <c r="A2" s="13" t="s">
        <v>1423</v>
      </c>
      <c r="B2" s="13" t="s">
        <v>1424</v>
      </c>
    </row>
    <row r="3" spans="1:2" ht="32.25" customHeight="1" x14ac:dyDescent="0.25">
      <c r="A3" s="13" t="s">
        <v>23</v>
      </c>
      <c r="B3" s="13" t="s">
        <v>1425</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D59D7-0A26-430A-86EC-D2CB506E83C2}">
  <dimension ref="A1:Q117"/>
  <sheetViews>
    <sheetView zoomScale="85" zoomScaleNormal="85" workbookViewId="0">
      <selection activeCell="D100" sqref="D100:E102"/>
    </sheetView>
  </sheetViews>
  <sheetFormatPr baseColWidth="10" defaultColWidth="17.140625" defaultRowHeight="15" x14ac:dyDescent="0.25"/>
  <sheetData>
    <row r="1" spans="1:12" x14ac:dyDescent="0.25">
      <c r="A1" s="9" t="s">
        <v>40</v>
      </c>
      <c r="B1" s="9" t="s">
        <v>0</v>
      </c>
      <c r="C1" t="s">
        <v>1331</v>
      </c>
      <c r="F1" s="10">
        <v>0</v>
      </c>
      <c r="G1" s="9">
        <v>1</v>
      </c>
      <c r="H1" s="9">
        <v>2</v>
      </c>
      <c r="I1" s="9">
        <v>3</v>
      </c>
      <c r="J1" s="9">
        <v>4</v>
      </c>
      <c r="K1" t="s">
        <v>1332</v>
      </c>
    </row>
    <row r="2" spans="1:12" x14ac:dyDescent="0.25">
      <c r="A2" s="10" t="s">
        <v>1325</v>
      </c>
      <c r="B2" s="9">
        <v>0</v>
      </c>
      <c r="C2">
        <f>COUNTIFS(Tabla1[Duration],B2)</f>
        <v>19</v>
      </c>
      <c r="E2" t="s">
        <v>32</v>
      </c>
      <c r="F2">
        <f>COUNTIFS(Tabla1[Educational Level],$E2,Tabla1[Duration],B$2)</f>
        <v>0</v>
      </c>
      <c r="G2">
        <f>COUNTIFS(Tabla1[Educational Level],$E2,Tabla1[Duration],$B$3)</f>
        <v>0</v>
      </c>
      <c r="H2">
        <f>COUNTIFS(Tabla1[Educational Level],$E2,Tabla1[Duration],$B$4)</f>
        <v>0</v>
      </c>
      <c r="I2">
        <f>COUNTIFS(Tabla1[Educational Level],$E2,Tabla1[Duration],$B$5)</f>
        <v>0</v>
      </c>
      <c r="J2">
        <f>COUNTIFS(Tabla1[Educational Level],$E2,Tabla1[Duration],$B$6)</f>
        <v>2</v>
      </c>
      <c r="K2">
        <v>2</v>
      </c>
      <c r="L2" s="25">
        <f>K2/$L$10</f>
        <v>3.2258064516129031E-2</v>
      </c>
    </row>
    <row r="3" spans="1:12" x14ac:dyDescent="0.25">
      <c r="A3" s="9" t="s">
        <v>1326</v>
      </c>
      <c r="B3" s="9">
        <v>1</v>
      </c>
      <c r="C3">
        <f>COUNTIFS(Tabla1[Duration],B3)</f>
        <v>5</v>
      </c>
      <c r="E3" t="s">
        <v>27</v>
      </c>
      <c r="F3">
        <f>COUNTIFS(Tabla1[Educational Level],$E3,Tabla1[Duration],B$2)</f>
        <v>6</v>
      </c>
      <c r="G3">
        <f>COUNTIFS(Tabla1[Educational Level],$E3,Tabla1[Duration],$B$3)</f>
        <v>2</v>
      </c>
      <c r="H3">
        <f>COUNTIFS(Tabla1[Educational Level],$E3,Tabla1[Duration],$B$4)</f>
        <v>3</v>
      </c>
      <c r="I3">
        <f>COUNTIFS(Tabla1[Educational Level],$E3,Tabla1[Duration],$B$5)</f>
        <v>6</v>
      </c>
      <c r="J3">
        <f>COUNTIFS(Tabla1[Educational Level],$E3,Tabla1[Duration],$B$6)</f>
        <v>3</v>
      </c>
      <c r="K3">
        <v>20</v>
      </c>
      <c r="L3" s="25">
        <f t="shared" ref="L3:L7" si="0">K3/$L$10</f>
        <v>0.32258064516129031</v>
      </c>
    </row>
    <row r="4" spans="1:12" x14ac:dyDescent="0.25">
      <c r="A4" s="9" t="s">
        <v>1327</v>
      </c>
      <c r="B4" s="9">
        <v>2</v>
      </c>
      <c r="C4">
        <f>COUNTIFS(Tabla1[Duration],B4)</f>
        <v>15</v>
      </c>
      <c r="E4" t="s">
        <v>30</v>
      </c>
      <c r="F4">
        <f>COUNTIFS(Tabla1[Educational Level],$E4,Tabla1[Duration],B$2)</f>
        <v>4</v>
      </c>
      <c r="G4">
        <f>COUNTIFS(Tabla1[Educational Level],$E4,Tabla1[Duration],$B$3)</f>
        <v>1</v>
      </c>
      <c r="H4">
        <f>COUNTIFS(Tabla1[Educational Level],$E4,Tabla1[Duration],$B$4)</f>
        <v>5</v>
      </c>
      <c r="I4">
        <f>COUNTIFS(Tabla1[Educational Level],$E4,Tabla1[Duration],$B$5)</f>
        <v>2</v>
      </c>
      <c r="J4">
        <f>COUNTIFS(Tabla1[Educational Level],$E4,Tabla1[Duration],$B$6)</f>
        <v>0</v>
      </c>
      <c r="K4">
        <v>12</v>
      </c>
      <c r="L4" s="25">
        <f t="shared" si="0"/>
        <v>0.19354838709677419</v>
      </c>
    </row>
    <row r="5" spans="1:12" x14ac:dyDescent="0.25">
      <c r="A5" s="9" t="s">
        <v>1328</v>
      </c>
      <c r="B5" s="9">
        <v>3</v>
      </c>
      <c r="C5">
        <f>COUNTIFS(Tabla1[Duration],B5)</f>
        <v>17</v>
      </c>
      <c r="E5" t="s">
        <v>29</v>
      </c>
      <c r="F5">
        <f>COUNTIFS(Tabla1[Educational Level],$E5,Tabla1[Duration],B$2)</f>
        <v>4</v>
      </c>
      <c r="G5">
        <f>COUNTIFS(Tabla1[Educational Level],$E5,Tabla1[Duration],$B$3)</f>
        <v>0</v>
      </c>
      <c r="H5">
        <f>COUNTIFS(Tabla1[Educational Level],$E5,Tabla1[Duration],$B$4)</f>
        <v>0</v>
      </c>
      <c r="I5">
        <f>COUNTIFS(Tabla1[Educational Level],$E5,Tabla1[Duration],$B$5)</f>
        <v>4</v>
      </c>
      <c r="J5">
        <f>COUNTIFS(Tabla1[Educational Level],$E5,Tabla1[Duration],$B$6)</f>
        <v>0</v>
      </c>
      <c r="K5">
        <v>8</v>
      </c>
      <c r="L5" s="25">
        <f t="shared" si="0"/>
        <v>0.12903225806451613</v>
      </c>
    </row>
    <row r="6" spans="1:12" x14ac:dyDescent="0.25">
      <c r="A6" s="9" t="s">
        <v>1329</v>
      </c>
      <c r="B6" s="9">
        <v>4</v>
      </c>
      <c r="C6">
        <f>COUNTIFS(Tabla1[Duration],B6)</f>
        <v>6</v>
      </c>
      <c r="E6" t="s">
        <v>28</v>
      </c>
      <c r="F6">
        <f>COUNTIFS(Tabla1[Educational Level],$E6,Tabla1[Duration],B$2)</f>
        <v>1</v>
      </c>
      <c r="G6">
        <f>COUNTIFS(Tabla1[Educational Level],$E6,Tabla1[Duration],$B$3)</f>
        <v>0</v>
      </c>
      <c r="H6">
        <f>COUNTIFS(Tabla1[Educational Level],$E6,Tabla1[Duration],$B$4)</f>
        <v>3</v>
      </c>
      <c r="I6">
        <f>COUNTIFS(Tabla1[Educational Level],$E6,Tabla1[Duration],$B$5)</f>
        <v>1</v>
      </c>
      <c r="J6">
        <f>COUNTIFS(Tabla1[Educational Level],$E6,Tabla1[Duration],$B$6)</f>
        <v>0</v>
      </c>
      <c r="K6">
        <v>5</v>
      </c>
      <c r="L6" s="25">
        <f t="shared" si="0"/>
        <v>8.0645161290322578E-2</v>
      </c>
    </row>
    <row r="7" spans="1:12" x14ac:dyDescent="0.25">
      <c r="A7" s="9" t="s">
        <v>17</v>
      </c>
      <c r="C7">
        <f>COUNTIFS(Tabla1[Duration],A7)</f>
        <v>40</v>
      </c>
      <c r="E7" t="s">
        <v>31</v>
      </c>
      <c r="F7">
        <f>COUNTIFS(Tabla1[Educational Level],$E7,Tabla1[Duration],B$2)</f>
        <v>4</v>
      </c>
      <c r="G7">
        <f>COUNTIFS(Tabla1[Educational Level],$E7,Tabla1[Duration],$B$3)</f>
        <v>2</v>
      </c>
      <c r="H7">
        <f>COUNTIFS(Tabla1[Educational Level],$E7,Tabla1[Duration],$B$4)</f>
        <v>4</v>
      </c>
      <c r="I7">
        <f>COUNTIFS(Tabla1[Educational Level],$E7,Tabla1[Duration],$B$5)</f>
        <v>4</v>
      </c>
      <c r="J7">
        <f>COUNTIFS(Tabla1[Educational Level],$E7,Tabla1[Duration],$B$6)</f>
        <v>1</v>
      </c>
      <c r="K7">
        <v>15</v>
      </c>
      <c r="L7" s="25">
        <f t="shared" si="0"/>
        <v>0.24193548387096775</v>
      </c>
    </row>
    <row r="8" spans="1:12" x14ac:dyDescent="0.25">
      <c r="A8" s="9" t="s">
        <v>1332</v>
      </c>
      <c r="C8">
        <f>SUM(C2:C7)</f>
        <v>102</v>
      </c>
      <c r="E8" t="s">
        <v>1332</v>
      </c>
      <c r="F8">
        <f>SUM(F$2:F$7)</f>
        <v>19</v>
      </c>
      <c r="G8">
        <f>SUM(G$2:G$7)</f>
        <v>5</v>
      </c>
      <c r="H8">
        <f>SUM(H$2:H$7)</f>
        <v>15</v>
      </c>
      <c r="I8">
        <f>SUM(I$2:I$7)</f>
        <v>17</v>
      </c>
      <c r="J8">
        <f>SUM(J$2:J$7)</f>
        <v>6</v>
      </c>
    </row>
    <row r="9" spans="1:12" x14ac:dyDescent="0.25">
      <c r="F9" s="25">
        <f>F8/$L$10</f>
        <v>0.30645161290322581</v>
      </c>
      <c r="G9" s="25">
        <f t="shared" ref="G9:J9" si="1">G8/$L$10</f>
        <v>8.0645161290322578E-2</v>
      </c>
      <c r="H9" s="25">
        <f t="shared" si="1"/>
        <v>0.24193548387096775</v>
      </c>
      <c r="I9" s="25">
        <f t="shared" si="1"/>
        <v>0.27419354838709675</v>
      </c>
      <c r="J9" s="25">
        <f t="shared" si="1"/>
        <v>9.6774193548387094E-2</v>
      </c>
    </row>
    <row r="10" spans="1:12" x14ac:dyDescent="0.25">
      <c r="L10">
        <f>SUM(F2:J7)</f>
        <v>62</v>
      </c>
    </row>
    <row r="13" spans="1:12" x14ac:dyDescent="0.25">
      <c r="A13" t="s">
        <v>13</v>
      </c>
      <c r="B13">
        <f>COUNTIF(Tabla1[Q Level (2023)],"Q1")</f>
        <v>34</v>
      </c>
      <c r="C13" s="19">
        <f>B13/102</f>
        <v>0.33333333333333331</v>
      </c>
      <c r="F13" t="s">
        <v>13</v>
      </c>
      <c r="G13" t="s">
        <v>14</v>
      </c>
      <c r="H13" t="s">
        <v>15</v>
      </c>
      <c r="I13" t="s">
        <v>16</v>
      </c>
      <c r="J13" t="s">
        <v>17</v>
      </c>
    </row>
    <row r="14" spans="1:12" x14ac:dyDescent="0.25">
      <c r="A14" t="s">
        <v>14</v>
      </c>
      <c r="B14">
        <f>COUNTIF(Tabla1[Q Level (2023)],"Q2")</f>
        <v>25</v>
      </c>
      <c r="C14" s="19">
        <f>B14/102</f>
        <v>0.24509803921568626</v>
      </c>
      <c r="E14" t="s">
        <v>359</v>
      </c>
      <c r="F14">
        <f>COUNTIFS(Tabla1[Q Level (2023)],"Q1",Tabla1[Gender],"M")</f>
        <v>20</v>
      </c>
      <c r="G14">
        <f>COUNTIFS(Tabla1[Q Level (2023)],"Q2",Tabla1[Gender],"M")</f>
        <v>16</v>
      </c>
      <c r="H14">
        <f>COUNTIFS(Tabla1[Q Level (2023)],"Q3",Tabla1[Gender],"M")</f>
        <v>7</v>
      </c>
      <c r="I14">
        <f>COUNTIFS(Tabla1[Q Level (2023)],"Q4",Tabla1[Gender],"F")</f>
        <v>1</v>
      </c>
      <c r="J14">
        <f>COUNTIFS(Tabla1[Q Level (2023)],"n/a",Tabla1[Gender],"M")</f>
        <v>7</v>
      </c>
    </row>
    <row r="15" spans="1:12" x14ac:dyDescent="0.25">
      <c r="A15" t="s">
        <v>15</v>
      </c>
      <c r="B15">
        <f>COUNTIF(Tabla1[Q Level (2023)],"Q3")</f>
        <v>17</v>
      </c>
      <c r="C15" s="19">
        <f>B15/102</f>
        <v>0.16666666666666666</v>
      </c>
      <c r="E15" t="s">
        <v>358</v>
      </c>
      <c r="F15">
        <f>COUNTIFS(Tabla1[Q Level (2023)],"Q1",Tabla1[Gender],"F")</f>
        <v>14</v>
      </c>
      <c r="G15">
        <f>COUNTIFS(Tabla1[Q Level (2023)],"Q2",Tabla1[Gender],"F")</f>
        <v>9</v>
      </c>
      <c r="H15">
        <f>COUNTIFS(Tabla1[Q Level (2023)],"Q3",Tabla1[Gender],"F")</f>
        <v>10</v>
      </c>
      <c r="I15">
        <f>COUNTIFS(Tabla1[Q Level (2023)],"Q4",Tabla1[Gender],"M")</f>
        <v>1</v>
      </c>
      <c r="J15">
        <f>COUNTIFS(Tabla1[Q Level (2023)],"n/a",Tabla1[Gender],"F")</f>
        <v>17</v>
      </c>
    </row>
    <row r="16" spans="1:12" x14ac:dyDescent="0.25">
      <c r="A16" t="s">
        <v>16</v>
      </c>
      <c r="B16">
        <f>COUNTIF(Tabla1[Q Level (2023)],"Q4")</f>
        <v>2</v>
      </c>
      <c r="C16" s="19">
        <f>B16/102</f>
        <v>1.9607843137254902E-2</v>
      </c>
    </row>
    <row r="17" spans="1:11" x14ac:dyDescent="0.25">
      <c r="A17" t="s">
        <v>17</v>
      </c>
      <c r="B17">
        <f>COUNTIF(Tabla1[Q Level (2023)],"N/A")</f>
        <v>24</v>
      </c>
      <c r="C17" s="19">
        <f>B17/102</f>
        <v>0.23529411764705882</v>
      </c>
    </row>
    <row r="19" spans="1:11" x14ac:dyDescent="0.25">
      <c r="A19" t="s">
        <v>359</v>
      </c>
      <c r="B19">
        <f>COUNTIF(Tabla1[Gender],"M")</f>
        <v>51</v>
      </c>
      <c r="C19" s="19">
        <f>B19/102</f>
        <v>0.5</v>
      </c>
      <c r="G19" t="s">
        <v>1408</v>
      </c>
      <c r="H19" t="s">
        <v>1409</v>
      </c>
      <c r="I19" t="s">
        <v>17</v>
      </c>
    </row>
    <row r="20" spans="1:11" x14ac:dyDescent="0.25">
      <c r="A20" t="s">
        <v>358</v>
      </c>
      <c r="B20">
        <f>COUNTIF(Tabla1[Gender],"F")</f>
        <v>51</v>
      </c>
      <c r="C20" s="19">
        <f>B20/102</f>
        <v>0.5</v>
      </c>
      <c r="F20" t="s">
        <v>359</v>
      </c>
      <c r="G20" s="20">
        <f>36/59</f>
        <v>0.61016949152542377</v>
      </c>
      <c r="H20" s="20">
        <f>8/19</f>
        <v>0.42105263157894735</v>
      </c>
      <c r="I20" s="19">
        <f>17/24</f>
        <v>0.70833333333333337</v>
      </c>
    </row>
    <row r="21" spans="1:11" x14ac:dyDescent="0.25">
      <c r="F21" t="s">
        <v>358</v>
      </c>
      <c r="G21" s="20">
        <f>23/59</f>
        <v>0.38983050847457629</v>
      </c>
      <c r="H21" s="20">
        <f>11/19</f>
        <v>0.57894736842105265</v>
      </c>
      <c r="I21" s="19">
        <f>7/24</f>
        <v>0.29166666666666669</v>
      </c>
    </row>
    <row r="29" spans="1:11" x14ac:dyDescent="0.25">
      <c r="A29" t="s">
        <v>1410</v>
      </c>
    </row>
    <row r="30" spans="1:11" x14ac:dyDescent="0.25">
      <c r="A30" s="11"/>
      <c r="B30" s="12" t="s">
        <v>1338</v>
      </c>
      <c r="C30" s="12" t="s">
        <v>1339</v>
      </c>
      <c r="D30" s="12" t="s">
        <v>1340</v>
      </c>
      <c r="E30" s="12" t="s">
        <v>1347</v>
      </c>
      <c r="F30" s="12" t="s">
        <v>1350</v>
      </c>
      <c r="G30" s="12" t="s">
        <v>1412</v>
      </c>
      <c r="H30" s="12"/>
      <c r="I30" s="12"/>
    </row>
    <row r="31" spans="1:11" x14ac:dyDescent="0.25">
      <c r="A31" s="11" t="s">
        <v>1334</v>
      </c>
      <c r="B31" s="17">
        <f>COUNTIFS(Hoja3!$F$2:$F$103,"*Build*",Hoja3!$E$2:$E$103,"*Engineering*")</f>
        <v>20</v>
      </c>
      <c r="C31" s="17">
        <f>COUNTIFS(Hoja3!$F$2:$F$103,"*Explore*",Hoja3!$E$2:$E$103,"*Engineering*")</f>
        <v>5</v>
      </c>
      <c r="D31" s="17">
        <v>0</v>
      </c>
      <c r="E31" s="17">
        <f>COUNTIFS(Hoja3!$F$2:$F$103,"*Interact*",Hoja3!$E$2:$E$103,"*Engineering*")</f>
        <v>3</v>
      </c>
      <c r="F31" s="17">
        <f>COUNTIFS(Hoja3!$F$2:$F$103,"*Write*",Hoja3!$E$2:$E$103,"*Engineering*")</f>
        <v>0</v>
      </c>
      <c r="G31">
        <v>0</v>
      </c>
      <c r="H31" s="12">
        <f>SUM(B31:G31)</f>
        <v>28</v>
      </c>
      <c r="I31" s="16">
        <f t="shared" ref="I31:I38" si="2">$H31/$H$38</f>
        <v>0.11914893617021277</v>
      </c>
      <c r="K31" s="17"/>
    </row>
    <row r="32" spans="1:11" x14ac:dyDescent="0.25">
      <c r="A32" s="11" t="s">
        <v>7</v>
      </c>
      <c r="B32" s="17">
        <f>COUNTIFS(Hoja3!$F$2:$F$103,"*Build*",Hoja3!$E$2:$E$103,"*Language*")</f>
        <v>17</v>
      </c>
      <c r="C32" s="17">
        <f>COUNTIFS(Hoja3!$F$2:$F$103,"*Explore*",Hoja3!$E$2:$E$103,"*Language*")</f>
        <v>5</v>
      </c>
      <c r="D32" s="17">
        <f>COUNTIFS(Hoja3!$F$2:$F$103,"*Create Narratives*",Hoja3!$E$2:$E$103,"*Language*")</f>
        <v>6</v>
      </c>
      <c r="E32" s="17">
        <f>COUNTIFS(Hoja3!$F$2:$F$103,"*Interact*",Hoja3!$E$2:$E$103,"*Language*")</f>
        <v>5</v>
      </c>
      <c r="F32" s="17">
        <f>COUNTIFS(Hoja3!$F$2:$F$103,"*Write*",Hoja3!$E$2:$E$103,"*Language*")</f>
        <v>5</v>
      </c>
      <c r="G32">
        <v>9</v>
      </c>
      <c r="H32" s="12">
        <f>SUM(B32:G32)</f>
        <v>47</v>
      </c>
      <c r="I32" s="16">
        <f t="shared" si="2"/>
        <v>0.2</v>
      </c>
      <c r="K32" s="17"/>
    </row>
    <row r="33" spans="1:17" x14ac:dyDescent="0.25">
      <c r="A33" s="11" t="s">
        <v>1335</v>
      </c>
      <c r="B33" s="17">
        <f>COUNTIFS(Hoja3!$F$2:$F$103,"*Build*",Hoja3!$E$2:$E$103,"*Maths*")</f>
        <v>16</v>
      </c>
      <c r="C33" s="17">
        <f>COUNTIFS(Hoja3!$F$2:$F$103,"*Explore*",Hoja3!$E$2:$E$103,"*Maths*")</f>
        <v>4</v>
      </c>
      <c r="D33" s="17">
        <v>0</v>
      </c>
      <c r="E33" s="17">
        <f>COUNTIFS(Hoja3!$F$2:$F$103,"*Interact*",Hoja3!$E$2:$E$103,"*Maths*")</f>
        <v>4</v>
      </c>
      <c r="F33" s="17">
        <f>COUNTIFS(Hoja3!$F$2:$F$103,"*Write*",Hoja3!$E$2:$E$103,"*Maths*")</f>
        <v>3</v>
      </c>
      <c r="G33">
        <v>0</v>
      </c>
      <c r="H33" s="12">
        <f>SUM(B33:G33)</f>
        <v>27</v>
      </c>
      <c r="I33" s="16">
        <f t="shared" si="2"/>
        <v>0.1148936170212766</v>
      </c>
      <c r="K33" s="17"/>
    </row>
    <row r="34" spans="1:17" x14ac:dyDescent="0.25">
      <c r="A34" s="11" t="s">
        <v>455</v>
      </c>
      <c r="B34" s="17">
        <f>COUNTIFS(Hoja3!$F$2:$F$103,"*Build*",Hoja3!$E$2:$E$103,"*Science*")</f>
        <v>30</v>
      </c>
      <c r="C34" s="17">
        <f>COUNTIFS(Hoja3!$F$2:$F$103,"*Explore*",Hoja3!$E$2:$E$103,"*Science*")</f>
        <v>20</v>
      </c>
      <c r="D34" s="17">
        <f>COUNTIFS(Hoja3!$F$2:$F$103,"*Create Narratives*",Hoja3!$E$2:$E$103,"*Science*")</f>
        <v>3</v>
      </c>
      <c r="E34" s="17">
        <f>COUNTIFS(Hoja3!$F$2:$F$103,"*Interact*",Hoja3!$E$2:$E$103,"*Science*")</f>
        <v>13</v>
      </c>
      <c r="F34" s="17">
        <f>COUNTIFS(Hoja3!$F$2:$F$103,"*Write*",Hoja3!$E$2:$E$103,"*Science*")</f>
        <v>3</v>
      </c>
      <c r="G34">
        <v>5</v>
      </c>
      <c r="H34" s="12">
        <f>SUM(B34:G34)</f>
        <v>74</v>
      </c>
      <c r="I34" s="16">
        <f t="shared" si="2"/>
        <v>0.31489361702127661</v>
      </c>
      <c r="K34" s="17"/>
    </row>
    <row r="35" spans="1:17" x14ac:dyDescent="0.25">
      <c r="A35" s="11" t="s">
        <v>372</v>
      </c>
      <c r="B35" s="17">
        <f>COUNTIFS(Hoja3!$F$2:$F$103,"*Build*",Hoja3!$E$2:$E$103,"*Social Sciences*")</f>
        <v>11</v>
      </c>
      <c r="C35" s="17">
        <f>COUNTIFS(Hoja3!$F$2:$F$103,"*Explore*",Hoja3!$E$2:$E$103,"*Social Sciences*")</f>
        <v>5</v>
      </c>
      <c r="D35" s="17">
        <v>0</v>
      </c>
      <c r="E35" s="17">
        <f>COUNTIFS(Hoja3!$F$2:$F$103,"*Interact*",Hoja3!$E$2:$E$103,"*Social Sciences*")</f>
        <v>3</v>
      </c>
      <c r="F35" s="17">
        <v>0</v>
      </c>
      <c r="G35">
        <v>0</v>
      </c>
      <c r="H35" s="12">
        <f>SUM(B35:G35)</f>
        <v>19</v>
      </c>
      <c r="I35" s="16">
        <f t="shared" si="2"/>
        <v>8.085106382978724E-2</v>
      </c>
      <c r="K35" s="17"/>
    </row>
    <row r="36" spans="1:17" x14ac:dyDescent="0.25">
      <c r="A36" s="11" t="s">
        <v>1412</v>
      </c>
      <c r="B36" s="17">
        <v>9</v>
      </c>
      <c r="C36" s="17">
        <v>3</v>
      </c>
      <c r="D36" s="17">
        <v>0</v>
      </c>
      <c r="E36" s="17">
        <v>0</v>
      </c>
      <c r="F36" s="17">
        <v>3</v>
      </c>
      <c r="G36">
        <v>0</v>
      </c>
      <c r="H36" s="12">
        <v>17</v>
      </c>
      <c r="I36" s="16">
        <f t="shared" si="2"/>
        <v>7.2340425531914887E-2</v>
      </c>
      <c r="K36" s="17"/>
    </row>
    <row r="37" spans="1:17" x14ac:dyDescent="0.25">
      <c r="A37" s="11" t="s">
        <v>1337</v>
      </c>
      <c r="B37" s="17">
        <f>COUNTIFS(Hoja3!$F$2:$F$103,"*Build*",Hoja3!$E$2:$E$103,"*Technology*")</f>
        <v>12</v>
      </c>
      <c r="C37" s="17">
        <f>COUNTIFS(Hoja3!$F$2:$F$103,"*Explore*",Hoja3!$E$2:$E$103,"*Technology*")</f>
        <v>3</v>
      </c>
      <c r="D37" s="17">
        <v>0</v>
      </c>
      <c r="E37" s="17">
        <f>COUNTIFS(Hoja3!$F$2:$F$103,"*Interact*",Hoja3!$E$2:$E$103,"*Technology*")</f>
        <v>5</v>
      </c>
      <c r="F37" s="17">
        <v>0</v>
      </c>
      <c r="G37">
        <v>5</v>
      </c>
      <c r="H37" s="12">
        <f>SUM(B37:G37)</f>
        <v>25</v>
      </c>
      <c r="I37" s="16">
        <f t="shared" si="2"/>
        <v>0.10638297872340426</v>
      </c>
      <c r="K37" s="17"/>
    </row>
    <row r="38" spans="1:17" x14ac:dyDescent="0.25">
      <c r="B38" s="12">
        <f>SUM(B31:B37)</f>
        <v>115</v>
      </c>
      <c r="C38" s="12">
        <f>SUM(C31:C37)</f>
        <v>45</v>
      </c>
      <c r="D38" s="12">
        <f>SUM(D31:D37)</f>
        <v>9</v>
      </c>
      <c r="E38" s="12">
        <f>SUM(E31:E37)</f>
        <v>33</v>
      </c>
      <c r="F38" s="12">
        <f>SUM(F31:F37)</f>
        <v>14</v>
      </c>
      <c r="G38">
        <v>19</v>
      </c>
      <c r="H38" s="12">
        <f>SUM(B38:G38)</f>
        <v>235</v>
      </c>
      <c r="I38" s="16">
        <f t="shared" si="2"/>
        <v>1</v>
      </c>
      <c r="K38" s="12"/>
      <c r="N38" s="16"/>
    </row>
    <row r="39" spans="1:17" x14ac:dyDescent="0.25">
      <c r="B39" s="18">
        <f t="shared" ref="B39:H39" si="3">B$38/$H$38</f>
        <v>0.48936170212765956</v>
      </c>
      <c r="C39" s="18">
        <f t="shared" si="3"/>
        <v>0.19148936170212766</v>
      </c>
      <c r="D39" s="18">
        <f t="shared" si="3"/>
        <v>3.8297872340425532E-2</v>
      </c>
      <c r="E39" s="18">
        <f t="shared" si="3"/>
        <v>0.14042553191489363</v>
      </c>
      <c r="F39" s="18">
        <f t="shared" si="3"/>
        <v>5.9574468085106386E-2</v>
      </c>
      <c r="G39" s="18">
        <f t="shared" si="3"/>
        <v>8.085106382978724E-2</v>
      </c>
      <c r="H39" s="18">
        <f t="shared" si="3"/>
        <v>1</v>
      </c>
      <c r="I39" s="18"/>
      <c r="J39" s="18"/>
      <c r="K39" s="15"/>
      <c r="M39" s="12"/>
      <c r="N39" s="14"/>
    </row>
    <row r="40" spans="1:17" x14ac:dyDescent="0.25">
      <c r="A40" s="12"/>
      <c r="B40" s="12"/>
      <c r="C40" s="12"/>
      <c r="D40" s="12"/>
      <c r="E40" s="12"/>
      <c r="F40" s="12"/>
      <c r="G40" s="12"/>
      <c r="H40" s="12"/>
      <c r="I40" s="12"/>
      <c r="J40" s="12"/>
      <c r="K40" s="12"/>
      <c r="O40" s="14"/>
    </row>
    <row r="41" spans="1:17" x14ac:dyDescent="0.25">
      <c r="A41" s="12"/>
      <c r="B41" s="12"/>
      <c r="C41" s="12"/>
      <c r="D41" s="12"/>
      <c r="E41" s="12"/>
      <c r="F41" s="12"/>
      <c r="G41" s="12"/>
      <c r="H41" s="12"/>
      <c r="I41" s="12"/>
      <c r="J41" s="12"/>
      <c r="K41" s="12"/>
      <c r="O41" s="14"/>
      <c r="P41" t="s">
        <v>1413</v>
      </c>
      <c r="Q41" t="s">
        <v>1404</v>
      </c>
    </row>
    <row r="42" spans="1:17" x14ac:dyDescent="0.25">
      <c r="A42" s="11"/>
      <c r="B42" s="9" t="s">
        <v>455</v>
      </c>
      <c r="C42" s="13" t="s">
        <v>7</v>
      </c>
      <c r="D42" s="13" t="s">
        <v>1335</v>
      </c>
      <c r="E42" s="13" t="s">
        <v>1337</v>
      </c>
      <c r="F42" s="13" t="s">
        <v>1334</v>
      </c>
      <c r="G42" s="13" t="s">
        <v>372</v>
      </c>
      <c r="H42" s="13" t="s">
        <v>867</v>
      </c>
      <c r="I42" s="13" t="s">
        <v>1333</v>
      </c>
      <c r="J42" s="13" t="s">
        <v>1336</v>
      </c>
      <c r="K42" s="13" t="s">
        <v>17</v>
      </c>
      <c r="L42" s="12"/>
      <c r="O42" s="14"/>
      <c r="P42" s="12" t="s">
        <v>1412</v>
      </c>
      <c r="Q42" s="12" t="s">
        <v>1412</v>
      </c>
    </row>
    <row r="43" spans="1:17" x14ac:dyDescent="0.25">
      <c r="A43" t="s">
        <v>32</v>
      </c>
      <c r="B43" s="12">
        <f>COUNTIFS(Hoja3!$E$2:$E$103,"*Science*",Hoja3!$G$2:$G$103,"*Childhood School*")</f>
        <v>0</v>
      </c>
      <c r="C43" s="12">
        <f>COUNTIFS(Hoja3!$E$2:$E$103,"*Language*",Hoja3!$G$2:$G$103,"*Childhood School*")</f>
        <v>0</v>
      </c>
      <c r="D43" s="12">
        <f>COUNTIFS(Hoja3!$E$2:$E$103,"*Maths*",Hoja3!$G$2:$G$103,"*Childhood School*")</f>
        <v>0</v>
      </c>
      <c r="E43" s="12">
        <f>COUNTIFS(Hoja3!$E$2:$E$103,"*Technology*",Hoja3!$G$2:$G$103,"*Childhood School*")</f>
        <v>0</v>
      </c>
      <c r="F43" s="12">
        <f>COUNTIFS(Hoja3!$E$2:$E$103,"*Engineering*",Hoja3!$G$2:$G$103,"*Childhood School*")</f>
        <v>0</v>
      </c>
      <c r="G43" s="12">
        <f>COUNTIFS(Hoja3!$E$2:$E$103,"*Social*",Hoja3!$G$2:$G$103,"*Childhood School*")</f>
        <v>0</v>
      </c>
      <c r="H43" s="12">
        <f>COUNTIFS(Hoja3!$E$2:$E$103,"*Arts*",Hoja3!$G$2:$G$103,"*Childhood School*")</f>
        <v>0</v>
      </c>
      <c r="I43" s="12">
        <f>COUNTIFS(Hoja3!$E$2:$E$103,"*Education Tech*",Hoja3!$G$2:$G$103,"*Childhood School*")</f>
        <v>0</v>
      </c>
      <c r="J43" s="12">
        <f>COUNTIFS(Hoja3!$E$2:$E$103,"*Special*",Hoja3!$G$2:$G$103,"*Childhood School*")</f>
        <v>0</v>
      </c>
      <c r="K43" s="12">
        <f>COUNTIFS(Hoja3!$E$2:$E$103,"*N/A*",Hoja3!$G$2:$G$103,"*Childhood School*")</f>
        <v>2</v>
      </c>
      <c r="L43" s="12">
        <f t="shared" ref="L43:L49" si="4">SUM(B43:K43)</f>
        <v>2</v>
      </c>
      <c r="M43" s="16">
        <f t="shared" ref="M43:M49" si="5">$L43/$A$50</f>
        <v>1.2048192771084338E-2</v>
      </c>
      <c r="O43" s="14"/>
      <c r="P43" t="s">
        <v>867</v>
      </c>
      <c r="Q43" t="s">
        <v>0</v>
      </c>
    </row>
    <row r="44" spans="1:17" x14ac:dyDescent="0.25">
      <c r="A44" t="s">
        <v>27</v>
      </c>
      <c r="B44" s="12">
        <f>COUNTIFS(Hoja3!$E$2:$E$103,"*Science*",Hoja3!$G$2:$G$103,"*Primary*")</f>
        <v>11</v>
      </c>
      <c r="C44" s="12">
        <f>COUNTIFS(Hoja3!$E$2:$E$103,"*Language*",Hoja3!$G$2:$G$103,"*Primary*")</f>
        <v>2</v>
      </c>
      <c r="D44" s="12">
        <f>COUNTIFS(Hoja3!$E$2:$E$103,"*Maths*",Hoja3!$G$2:$G$103,"*Primary*")</f>
        <v>8</v>
      </c>
      <c r="E44" s="12">
        <f>COUNTIFS(Hoja3!$E$2:$E$103,"*Technology*",Hoja3!$G$2:$G$103,"*Primary*")</f>
        <v>2</v>
      </c>
      <c r="F44" s="12">
        <f>COUNTIFS(Hoja3!$E$2:$E$103,"*Engineering*",Hoja3!$G$2:$G$103,"*Primary*")</f>
        <v>9</v>
      </c>
      <c r="G44" s="12">
        <f>COUNTIFS(Hoja3!$E$2:$E$103,"*Social*",Hoja3!$G$2:$G$103,"*Primary*")</f>
        <v>6</v>
      </c>
      <c r="H44" s="12">
        <f>COUNTIFS(Hoja3!$E$2:$E$103,"*Arts*",Hoja3!$G$2:$G$103,"*Primary*")</f>
        <v>1</v>
      </c>
      <c r="I44" s="12">
        <f>COUNTIFS(Hoja3!$E$2:$E$103,"*Education Tech*",Hoja3!$G$2:$G$103,"*Primary*")</f>
        <v>0</v>
      </c>
      <c r="J44" s="12">
        <f>COUNTIFS(Hoja3!$E$2:$E$103,"*Special*",Hoja3!$G$2:$G$103,"*Primary*")</f>
        <v>0</v>
      </c>
      <c r="K44" s="12">
        <f>COUNTIFS(Hoja3!$E$2:$E$103,"*N/A*",Hoja3!$G$2:$G$103,"*Primary*")</f>
        <v>6</v>
      </c>
      <c r="L44" s="12">
        <f t="shared" si="4"/>
        <v>45</v>
      </c>
      <c r="M44" s="16">
        <f t="shared" si="5"/>
        <v>0.27108433734939757</v>
      </c>
      <c r="O44" s="14"/>
      <c r="P44" t="s">
        <v>1414</v>
      </c>
      <c r="Q44" t="s">
        <v>1411</v>
      </c>
    </row>
    <row r="45" spans="1:17" x14ac:dyDescent="0.25">
      <c r="A45" t="s">
        <v>30</v>
      </c>
      <c r="B45" s="12">
        <f>COUNTIFS(Hoja3!$E$2:$E$103,"*Science*",Hoja3!$G$2:$G$103,"*Secondary*")</f>
        <v>9</v>
      </c>
      <c r="C45" s="12">
        <f>COUNTIFS(Hoja3!$E$2:$E$103,"*Language*",Hoja3!$G$2:$G$103,"*Secondary*")</f>
        <v>6</v>
      </c>
      <c r="D45" s="12">
        <f>COUNTIFS(Hoja3!$E$2:$E$103,"*Maths*",Hoja3!$G$2:$G$103,"*Secondary*")</f>
        <v>0</v>
      </c>
      <c r="E45" s="12">
        <f>COUNTIFS(Hoja3!$E$2:$E$103,"*Technology*",Hoja3!$G$2:$G$103,"*Secondary*")</f>
        <v>1</v>
      </c>
      <c r="F45" s="12">
        <f>COUNTIFS(Hoja3!$E$2:$E$103,"*Engineering*",Hoja3!$G$2:$G$103,"*Secondary*")</f>
        <v>3</v>
      </c>
      <c r="G45" s="12">
        <f>COUNTIFS(Hoja3!$E$2:$E$103,"*Social*",Hoja3!$G$2:$G$103,"*Secondary*")</f>
        <v>3</v>
      </c>
      <c r="H45" s="12">
        <f>COUNTIFS(Hoja3!$E$2:$E$103,"*Arts*",Hoja3!$G$2:$G$103,"*Secondary*")</f>
        <v>0</v>
      </c>
      <c r="I45" s="12">
        <f>COUNTIFS(Hoja3!$E$2:$E$103,"*Education Tech*",Hoja3!$G$2:$G$103,"*Secondary*")</f>
        <v>0</v>
      </c>
      <c r="J45" s="12">
        <f>COUNTIFS(Hoja3!$E$2:$E$103,"*Special*",Hoja3!$G$2:$G$103,"*Secondary*")</f>
        <v>0</v>
      </c>
      <c r="K45" s="12">
        <f>COUNTIFS(Hoja3!$E$2:$E$103,"*N/A*",Hoja3!$G$2:$G$103,"*Secondary*")</f>
        <v>1</v>
      </c>
      <c r="L45" s="12">
        <f t="shared" si="4"/>
        <v>23</v>
      </c>
      <c r="M45" s="16">
        <f t="shared" si="5"/>
        <v>0.13855421686746988</v>
      </c>
      <c r="O45" s="14"/>
      <c r="P45" t="s">
        <v>1336</v>
      </c>
      <c r="Q45" t="s">
        <v>1351</v>
      </c>
    </row>
    <row r="46" spans="1:17" x14ac:dyDescent="0.25">
      <c r="A46" t="s">
        <v>29</v>
      </c>
      <c r="B46" s="12">
        <f>COUNTIFS(Hoja3!$E$2:$E$103,"*Science*",Hoja3!$G$2:$G$103,"*Higher*")</f>
        <v>1</v>
      </c>
      <c r="C46" s="12">
        <f>COUNTIFS(Hoja3!$E$2:$E$103,"*Language*",Hoja3!$G$2:$G$103,"*Higher*")</f>
        <v>2</v>
      </c>
      <c r="D46" s="12">
        <f>COUNTIFS(Hoja3!$E$2:$E$103,"*Maths*",Hoja3!$G$2:$G$103,"*Higher*")</f>
        <v>0</v>
      </c>
      <c r="E46" s="12">
        <f>COUNTIFS(Hoja3!$E$2:$E$103,"*Technology*",Hoja3!$G$2:$G$103,"*Higher*")</f>
        <v>3</v>
      </c>
      <c r="F46" s="12">
        <f>COUNTIFS(Hoja3!$E$2:$E$103,"*Engineering*",Hoja3!$G$2:$G$103,"*Higher*")</f>
        <v>2</v>
      </c>
      <c r="G46" s="12">
        <f>COUNTIFS(Hoja3!$E$2:$E$103,"*Social*",Hoja3!$G$2:$G$103,"*Higher*")</f>
        <v>0</v>
      </c>
      <c r="H46" s="12">
        <f>COUNTIFS(Hoja3!$E$2:$E$103,"*Arts*",Hoja3!$G$2:$G$103,"*Higher*")</f>
        <v>0</v>
      </c>
      <c r="I46" s="12">
        <f>COUNTIFS(Hoja3!$E$2:$E$103,"*Education Tech*",Hoja3!$G$2:$G$103,"*Higher*")</f>
        <v>0</v>
      </c>
      <c r="J46" s="12">
        <f>COUNTIFS(Hoja3!$E$2:$E$103,"*Special*",Hoja3!$G$2:$G$103,"*Higher*")</f>
        <v>0</v>
      </c>
      <c r="K46" s="12">
        <f>COUNTIFS(Hoja3!$E$2:$E$103,"*N/A*",Hoja3!$G$2:$G$103,"*Higher*")</f>
        <v>3</v>
      </c>
      <c r="L46" s="12">
        <f t="shared" si="4"/>
        <v>11</v>
      </c>
      <c r="M46" s="16">
        <f t="shared" si="5"/>
        <v>6.6265060240963861E-2</v>
      </c>
      <c r="O46" s="14"/>
      <c r="Q46" t="s">
        <v>1341</v>
      </c>
    </row>
    <row r="47" spans="1:17" x14ac:dyDescent="0.25">
      <c r="A47" t="s">
        <v>28</v>
      </c>
      <c r="B47" s="12">
        <f>COUNTIFS(Hoja3!$E$2:$E$103,"*Science*",Hoja3!$G$2:$G$103,"*Teach*")</f>
        <v>1</v>
      </c>
      <c r="C47" s="12">
        <f>COUNTIFS(Hoja3!$E$2:$E$103,"*Language*",Hoja3!$G$2:$G$103,"*Teach*")</f>
        <v>2</v>
      </c>
      <c r="D47" s="12">
        <f>COUNTIFS(Hoja3!$E$2:$E$103,"*Maths*",Hoja3!$G$2:$G$103,"*Teach*")</f>
        <v>2</v>
      </c>
      <c r="E47" s="12">
        <f>COUNTIFS(Hoja3!$E$2:$E$103,"*Technology*",Hoja3!$G$2:$G$103,"*Teach*")</f>
        <v>5</v>
      </c>
      <c r="F47" s="12">
        <f>COUNTIFS(Hoja3!$E$2:$E$103,"*Engineering*",Hoja3!$G$2:$G$103,"*Teach*")</f>
        <v>0</v>
      </c>
      <c r="G47" s="12">
        <f>COUNTIFS(Hoja3!$E$2:$E$103,"*Social*",Hoja3!$G$2:$G$103,"*Teach*")</f>
        <v>0</v>
      </c>
      <c r="H47" s="12">
        <f>COUNTIFS(Hoja3!$E$2:$E$103,"*Arts*",Hoja3!$G$2:$G$103,"*Teach*")</f>
        <v>1</v>
      </c>
      <c r="I47" s="12">
        <f>COUNTIFS(Hoja3!$E$2:$E$103,"*Education Tech*",Hoja3!$G$2:$G$103,"*Teach*")</f>
        <v>3</v>
      </c>
      <c r="J47" s="12">
        <f>COUNTIFS(Hoja3!$E$2:$E$103,"*Special*",Hoja3!$G$2:$G$103,"*Teach*")</f>
        <v>0</v>
      </c>
      <c r="K47" s="12">
        <f>COUNTIFS(Hoja3!$E$2:$E$103,"*N/A*",Hoja3!$G$2:$G$103,"*Teach*")</f>
        <v>0</v>
      </c>
      <c r="L47" s="12">
        <f t="shared" si="4"/>
        <v>14</v>
      </c>
      <c r="M47" s="16">
        <f t="shared" si="5"/>
        <v>8.4337349397590355E-2</v>
      </c>
      <c r="O47" s="14"/>
    </row>
    <row r="48" spans="1:17" x14ac:dyDescent="0.25">
      <c r="A48" t="s">
        <v>31</v>
      </c>
      <c r="B48" s="12">
        <f>COUNTIFS(Hoja3!$E$2:$E$103,"*Science*",Hoja3!$G$2:$G$103,"*Several*")</f>
        <v>15</v>
      </c>
      <c r="C48" s="12">
        <f>COUNTIFS(Hoja3!$E$2:$E$103,"*Language*",Hoja3!$G$2:$G$103,"*Several*")</f>
        <v>8</v>
      </c>
      <c r="D48" s="12">
        <f>COUNTIFS(Hoja3!$E$2:$E$103,"*Maths*",Hoja3!$G$2:$G$103,"*Several*")</f>
        <v>7</v>
      </c>
      <c r="E48" s="12">
        <f>COUNTIFS(Hoja3!$E$2:$E$103,"*Technology*",Hoja3!$G$2:$G$103,"*Several*")</f>
        <v>7</v>
      </c>
      <c r="F48" s="12">
        <f>COUNTIFS(Hoja3!$E$2:$E$103,"*Engineering*",Hoja3!$G$2:$G$103,"*Several*")</f>
        <v>4</v>
      </c>
      <c r="G48" s="12">
        <f>COUNTIFS(Hoja3!$E$2:$E$103,"*Social*",Hoja3!$G$2:$G$103,"*Several*")</f>
        <v>10</v>
      </c>
      <c r="H48" s="12">
        <f>COUNTIFS(Hoja3!$E$2:$E$103,"*Arts*",Hoja3!$G$2:$G$103,"*Several*")</f>
        <v>3</v>
      </c>
      <c r="I48" s="12">
        <f>COUNTIFS(Hoja3!$E$2:$E$103,"*Education Tech*",Hoja3!$G$2:$G$103,"*Several*")</f>
        <v>0</v>
      </c>
      <c r="J48" s="12">
        <f>COUNTIFS(Hoja3!$E$2:$E$103,"*Special*",Hoja3!$G$2:$G$103,"*Several*")</f>
        <v>1</v>
      </c>
      <c r="K48" s="12">
        <f>COUNTIFS(Hoja3!$E$2:$E$103,"*N/A*",Hoja3!$G$2:$G$103,"*Several*")</f>
        <v>4</v>
      </c>
      <c r="L48" s="12">
        <f t="shared" si="4"/>
        <v>59</v>
      </c>
      <c r="M48" s="16">
        <f t="shared" si="5"/>
        <v>0.35542168674698793</v>
      </c>
      <c r="O48" s="14"/>
    </row>
    <row r="49" spans="1:15" x14ac:dyDescent="0.25">
      <c r="A49" t="s">
        <v>17</v>
      </c>
      <c r="B49" s="12">
        <f>COUNTIFS(Hoja3!$E$2:$E$103,"*Science*",Hoja3!$G$2:$G$103,"*N/A*")</f>
        <v>1</v>
      </c>
      <c r="C49" s="12">
        <f>COUNTIFS(Hoja3!$E$2:$E$103,"*Language*",Hoja3!$G$2:$G$103,"*N/A*")</f>
        <v>2</v>
      </c>
      <c r="D49" s="12">
        <f>COUNTIFS(Hoja3!$E$2:$E$103,"*Maths*",Hoja3!$G$2:$G$103,"*N/A*")</f>
        <v>1</v>
      </c>
      <c r="E49" s="12">
        <f>COUNTIFS(Hoja3!$E$2:$E$103,"*Technology*",Hoja3!$G$2:$G$103,"*N/A*")</f>
        <v>0</v>
      </c>
      <c r="F49" s="12">
        <f>COUNTIFS(Hoja3!$E$2:$E$103,"*Engineering*",Hoja3!$G$2:$G$103,"*N/A*")</f>
        <v>2</v>
      </c>
      <c r="G49" s="12">
        <f>COUNTIFS(Hoja3!$E$2:$E$103,"*Social*",Hoja3!$G$2:$G$103,"*N/A*")</f>
        <v>0</v>
      </c>
      <c r="H49" s="12">
        <f>COUNTIFS(Hoja3!$E$2:$E$103,"*Arts*",Hoja3!$G$2:$G$103,"*N/A*")</f>
        <v>0</v>
      </c>
      <c r="I49" s="12">
        <f>COUNTIFS(Hoja3!$E$2:$E$103,"*Education Tech*",Hoja3!$G$2:$G$103,"*N/A*")</f>
        <v>0</v>
      </c>
      <c r="J49" s="12">
        <f>COUNTIFS(Hoja3!$E$2:$E$103,"*Special*",Hoja3!$G$2:$G$103,"*N/A*")</f>
        <v>0</v>
      </c>
      <c r="K49" s="12">
        <f>COUNTIFS(Hoja3!$E$2:$E$103,"*N/A*",Hoja3!$G$2:$G$103,"*N/A*")</f>
        <v>6</v>
      </c>
      <c r="L49" s="12">
        <f t="shared" si="4"/>
        <v>12</v>
      </c>
      <c r="M49" s="16">
        <f t="shared" si="5"/>
        <v>7.2289156626506021E-2</v>
      </c>
      <c r="O49" s="14"/>
    </row>
    <row r="50" spans="1:15" x14ac:dyDescent="0.25">
      <c r="A50" s="12">
        <f>SUM(B50:L50)</f>
        <v>166</v>
      </c>
      <c r="B50" s="12">
        <f t="shared" ref="B50:K50" si="6">SUM(B43:B49)</f>
        <v>38</v>
      </c>
      <c r="C50" s="12">
        <f t="shared" si="6"/>
        <v>22</v>
      </c>
      <c r="D50" s="12">
        <f t="shared" si="6"/>
        <v>18</v>
      </c>
      <c r="E50" s="12">
        <f t="shared" si="6"/>
        <v>18</v>
      </c>
      <c r="F50" s="12">
        <f t="shared" si="6"/>
        <v>20</v>
      </c>
      <c r="G50" s="12">
        <f t="shared" si="6"/>
        <v>19</v>
      </c>
      <c r="H50" s="12">
        <f t="shared" si="6"/>
        <v>5</v>
      </c>
      <c r="I50" s="12">
        <f t="shared" si="6"/>
        <v>3</v>
      </c>
      <c r="J50" s="12">
        <f t="shared" si="6"/>
        <v>1</v>
      </c>
      <c r="K50" s="12">
        <f t="shared" si="6"/>
        <v>22</v>
      </c>
      <c r="L50" s="12"/>
      <c r="N50" s="14"/>
    </row>
    <row r="51" spans="1:15" x14ac:dyDescent="0.25">
      <c r="A51" s="12"/>
      <c r="B51" s="16">
        <f t="shared" ref="B51:K51" si="7">B$50/$A$50</f>
        <v>0.2289156626506024</v>
      </c>
      <c r="C51" s="16">
        <f t="shared" si="7"/>
        <v>0.13253012048192772</v>
      </c>
      <c r="D51" s="16">
        <f t="shared" si="7"/>
        <v>0.10843373493975904</v>
      </c>
      <c r="E51" s="16">
        <f t="shared" si="7"/>
        <v>0.10843373493975904</v>
      </c>
      <c r="F51" s="16">
        <f t="shared" si="7"/>
        <v>0.12048192771084337</v>
      </c>
      <c r="G51" s="16">
        <f t="shared" si="7"/>
        <v>0.1144578313253012</v>
      </c>
      <c r="H51" s="16">
        <f t="shared" si="7"/>
        <v>3.0120481927710843E-2</v>
      </c>
      <c r="I51" s="16">
        <f t="shared" si="7"/>
        <v>1.8072289156626505E-2</v>
      </c>
      <c r="J51" s="16">
        <f t="shared" si="7"/>
        <v>6.024096385542169E-3</v>
      </c>
      <c r="K51" s="16">
        <f t="shared" si="7"/>
        <v>0.13253012048192772</v>
      </c>
      <c r="L51" s="16"/>
      <c r="N51" s="14"/>
    </row>
    <row r="52" spans="1:15" x14ac:dyDescent="0.25">
      <c r="B52" s="11"/>
      <c r="O52" s="14"/>
    </row>
    <row r="53" spans="1:15" x14ac:dyDescent="0.25">
      <c r="A53" s="12"/>
      <c r="O53" s="14"/>
    </row>
    <row r="54" spans="1:15" x14ac:dyDescent="0.25">
      <c r="O54" s="14"/>
    </row>
    <row r="55" spans="1:15" x14ac:dyDescent="0.25">
      <c r="A55" t="s">
        <v>383</v>
      </c>
      <c r="B55">
        <f>COUNTIF(principal!Q:Q,A55)</f>
        <v>1</v>
      </c>
      <c r="C55" s="25">
        <f>B55/81</f>
        <v>1.2345679012345678E-2</v>
      </c>
      <c r="O55" s="14"/>
    </row>
    <row r="56" spans="1:15" x14ac:dyDescent="0.25">
      <c r="A56" t="s">
        <v>405</v>
      </c>
      <c r="B56">
        <f>COUNTIF(principal!Q:Q,A56)</f>
        <v>1</v>
      </c>
      <c r="C56" s="25">
        <f t="shared" ref="C56:C82" si="8">B56/81</f>
        <v>1.2345679012345678E-2</v>
      </c>
      <c r="O56" s="14"/>
    </row>
    <row r="57" spans="1:15" x14ac:dyDescent="0.25">
      <c r="A57" t="s">
        <v>457</v>
      </c>
      <c r="B57">
        <f>COUNTIF(principal!Q:Q,A57)</f>
        <v>1</v>
      </c>
      <c r="C57" s="25">
        <f t="shared" si="8"/>
        <v>1.2345679012345678E-2</v>
      </c>
      <c r="G57" t="s">
        <v>1412</v>
      </c>
      <c r="H57">
        <f t="shared" ref="H57:O57" si="9">SUM(H58:H60)</f>
        <v>9</v>
      </c>
      <c r="I57">
        <f t="shared" si="9"/>
        <v>3</v>
      </c>
      <c r="J57">
        <f t="shared" si="9"/>
        <v>1</v>
      </c>
      <c r="K57">
        <f t="shared" si="9"/>
        <v>2</v>
      </c>
      <c r="L57">
        <f t="shared" si="9"/>
        <v>0</v>
      </c>
      <c r="M57">
        <f t="shared" si="9"/>
        <v>3</v>
      </c>
      <c r="N57">
        <f t="shared" si="9"/>
        <v>0</v>
      </c>
      <c r="O57">
        <f t="shared" si="9"/>
        <v>18</v>
      </c>
    </row>
    <row r="58" spans="1:15" x14ac:dyDescent="0.25">
      <c r="A58" t="s">
        <v>1003</v>
      </c>
      <c r="B58">
        <f>COUNTIF(principal!Q:Q,A58)</f>
        <v>1</v>
      </c>
      <c r="C58" s="25">
        <f t="shared" si="8"/>
        <v>1.2345679012345678E-2</v>
      </c>
      <c r="D58" s="12"/>
      <c r="E58" s="9"/>
      <c r="G58" s="11" t="s">
        <v>1333</v>
      </c>
      <c r="H58" s="17">
        <v>3</v>
      </c>
      <c r="I58" s="17">
        <v>0</v>
      </c>
      <c r="J58" s="17">
        <v>1</v>
      </c>
      <c r="K58" s="17">
        <v>1</v>
      </c>
      <c r="L58" s="17">
        <v>0</v>
      </c>
      <c r="M58" s="17">
        <v>1</v>
      </c>
      <c r="N58">
        <v>0</v>
      </c>
      <c r="O58" s="12">
        <v>6</v>
      </c>
    </row>
    <row r="59" spans="1:15" x14ac:dyDescent="0.25">
      <c r="A59" t="s">
        <v>992</v>
      </c>
      <c r="B59">
        <f>COUNTIF(principal!Q:Q,A59)</f>
        <v>1</v>
      </c>
      <c r="C59" s="25">
        <f t="shared" si="8"/>
        <v>1.2345679012345678E-2</v>
      </c>
      <c r="D59" s="14"/>
      <c r="E59" s="13"/>
      <c r="G59" s="11" t="s">
        <v>867</v>
      </c>
      <c r="H59" s="17">
        <v>5</v>
      </c>
      <c r="I59" s="17">
        <v>3</v>
      </c>
      <c r="J59" s="17">
        <v>0</v>
      </c>
      <c r="K59" s="17">
        <v>1</v>
      </c>
      <c r="L59" s="17">
        <v>0</v>
      </c>
      <c r="M59" s="17">
        <v>1</v>
      </c>
      <c r="N59">
        <v>0</v>
      </c>
      <c r="O59" s="12">
        <v>10</v>
      </c>
    </row>
    <row r="60" spans="1:15" x14ac:dyDescent="0.25">
      <c r="A60" t="s">
        <v>516</v>
      </c>
      <c r="B60">
        <f>COUNTIF(principal!Q:Q,A60)</f>
        <v>1</v>
      </c>
      <c r="C60" s="25">
        <f t="shared" si="8"/>
        <v>1.2345679012345678E-2</v>
      </c>
      <c r="D60" s="14"/>
      <c r="E60" s="13"/>
      <c r="G60" s="11" t="s">
        <v>1336</v>
      </c>
      <c r="H60" s="17">
        <v>1</v>
      </c>
      <c r="I60" s="17">
        <v>0</v>
      </c>
      <c r="J60" s="17">
        <v>0</v>
      </c>
      <c r="K60" s="17">
        <v>0</v>
      </c>
      <c r="L60" s="17">
        <v>0</v>
      </c>
      <c r="M60" s="17">
        <v>1</v>
      </c>
      <c r="N60">
        <v>0</v>
      </c>
      <c r="O60" s="12">
        <v>2</v>
      </c>
    </row>
    <row r="61" spans="1:15" x14ac:dyDescent="0.25">
      <c r="A61" t="s">
        <v>982</v>
      </c>
      <c r="B61">
        <f>COUNTIF(principal!Q:Q,A61)</f>
        <v>1</v>
      </c>
      <c r="C61" s="25">
        <f t="shared" si="8"/>
        <v>1.2345679012345678E-2</v>
      </c>
      <c r="D61" s="14"/>
      <c r="E61" s="13"/>
      <c r="G61" s="14"/>
    </row>
    <row r="62" spans="1:15" x14ac:dyDescent="0.25">
      <c r="A62" t="s">
        <v>895</v>
      </c>
      <c r="B62">
        <f>COUNTIF(principal!Q:Q,A62)</f>
        <v>1</v>
      </c>
      <c r="C62" s="25">
        <f t="shared" si="8"/>
        <v>1.2345679012345678E-2</v>
      </c>
      <c r="D62" s="14"/>
      <c r="E62" s="13"/>
      <c r="G62" s="14"/>
    </row>
    <row r="63" spans="1:15" x14ac:dyDescent="0.25">
      <c r="A63" t="s">
        <v>392</v>
      </c>
      <c r="B63">
        <f>COUNTIF(principal!Q:Q,A63)</f>
        <v>1</v>
      </c>
      <c r="C63" s="25">
        <f t="shared" si="8"/>
        <v>1.2345679012345678E-2</v>
      </c>
      <c r="D63" s="14"/>
      <c r="E63" s="13"/>
      <c r="G63" s="14"/>
    </row>
    <row r="64" spans="1:15" x14ac:dyDescent="0.25">
      <c r="A64" t="s">
        <v>972</v>
      </c>
      <c r="B64">
        <f>COUNTIF(principal!Q:Q,A64)</f>
        <v>1</v>
      </c>
      <c r="C64" s="25">
        <f t="shared" si="8"/>
        <v>1.2345679012345678E-2</v>
      </c>
      <c r="D64" s="14"/>
      <c r="E64" s="13"/>
      <c r="G64" s="14"/>
    </row>
    <row r="65" spans="1:16" x14ac:dyDescent="0.25">
      <c r="A65" t="s">
        <v>464</v>
      </c>
      <c r="B65">
        <f>COUNTIF(principal!Q:Q,A65)</f>
        <v>1</v>
      </c>
      <c r="C65" s="25">
        <f t="shared" si="8"/>
        <v>1.2345679012345678E-2</v>
      </c>
      <c r="D65" s="14"/>
      <c r="E65" s="13"/>
    </row>
    <row r="66" spans="1:16" x14ac:dyDescent="0.25">
      <c r="A66" t="s">
        <v>1040</v>
      </c>
      <c r="B66">
        <f>COUNTIF(principal!Q:Q,A66)</f>
        <v>1</v>
      </c>
      <c r="C66" s="25">
        <f t="shared" si="8"/>
        <v>1.2345679012345678E-2</v>
      </c>
      <c r="D66" s="14"/>
      <c r="E66" s="13"/>
    </row>
    <row r="67" spans="1:16" x14ac:dyDescent="0.25">
      <c r="A67" t="s">
        <v>450</v>
      </c>
      <c r="B67">
        <f>COUNTIF(principal!Q:Q,A67)</f>
        <v>1</v>
      </c>
      <c r="C67" s="25">
        <f t="shared" si="8"/>
        <v>1.2345679012345678E-2</v>
      </c>
      <c r="D67" s="14"/>
      <c r="E67" s="13"/>
      <c r="O67" t="s">
        <v>36</v>
      </c>
      <c r="P67">
        <f>COUNTIF(principal!P:P,O67)</f>
        <v>40</v>
      </c>
    </row>
    <row r="68" spans="1:16" x14ac:dyDescent="0.25">
      <c r="A68" t="s">
        <v>371</v>
      </c>
      <c r="B68">
        <f>COUNTIF(principal!Q:Q,A68)</f>
        <v>1</v>
      </c>
      <c r="C68" s="25">
        <f t="shared" si="8"/>
        <v>1.2345679012345678E-2</v>
      </c>
      <c r="O68" t="s">
        <v>364</v>
      </c>
      <c r="P68">
        <f>COUNTIF(principal!P:P,O68)</f>
        <v>4</v>
      </c>
    </row>
    <row r="69" spans="1:16" x14ac:dyDescent="0.25">
      <c r="A69" t="s">
        <v>980</v>
      </c>
      <c r="B69">
        <f>COUNTIF(principal!Q:Q,A69)</f>
        <v>2</v>
      </c>
      <c r="C69" s="25">
        <f t="shared" si="8"/>
        <v>2.4691358024691357E-2</v>
      </c>
      <c r="K69" s="24" t="s">
        <v>541</v>
      </c>
      <c r="L69" s="14">
        <v>65</v>
      </c>
      <c r="M69" s="26">
        <f>L69/90</f>
        <v>0.72222222222222221</v>
      </c>
      <c r="O69" t="s">
        <v>367</v>
      </c>
      <c r="P69">
        <f>COUNTIF(principal!P:P,O69)</f>
        <v>6</v>
      </c>
    </row>
    <row r="70" spans="1:16" x14ac:dyDescent="0.25">
      <c r="A70" t="s">
        <v>465</v>
      </c>
      <c r="B70">
        <f>COUNTIF(principal!Q:Q,A70)</f>
        <v>2</v>
      </c>
      <c r="C70" s="25">
        <f t="shared" si="8"/>
        <v>2.4691358024691357E-2</v>
      </c>
      <c r="K70" s="14" t="s">
        <v>1407</v>
      </c>
      <c r="L70" s="14">
        <v>7</v>
      </c>
      <c r="M70" s="26">
        <f t="shared" ref="M70:M77" si="10">L70/90</f>
        <v>7.7777777777777779E-2</v>
      </c>
      <c r="O70" t="s">
        <v>366</v>
      </c>
      <c r="P70">
        <f>COUNTIF(principal!P:P,O70)</f>
        <v>7</v>
      </c>
    </row>
    <row r="71" spans="1:16" x14ac:dyDescent="0.25">
      <c r="A71" t="s">
        <v>388</v>
      </c>
      <c r="B71">
        <f>COUNTIF(principal!Q:Q,A71)</f>
        <v>2</v>
      </c>
      <c r="C71" s="25">
        <f t="shared" si="8"/>
        <v>2.4691358024691357E-2</v>
      </c>
      <c r="K71" s="14" t="s">
        <v>357</v>
      </c>
      <c r="L71" s="14">
        <v>3</v>
      </c>
      <c r="M71" s="26">
        <f t="shared" si="10"/>
        <v>3.3333333333333333E-2</v>
      </c>
      <c r="O71" t="s">
        <v>363</v>
      </c>
      <c r="P71">
        <f>COUNTIF(principal!P:P,O71)</f>
        <v>12</v>
      </c>
    </row>
    <row r="72" spans="1:16" x14ac:dyDescent="0.25">
      <c r="A72" t="s">
        <v>951</v>
      </c>
      <c r="B72">
        <f>COUNTIF(principal!Q:Q,A72)</f>
        <v>2</v>
      </c>
      <c r="C72" s="25">
        <f t="shared" si="8"/>
        <v>2.4691358024691357E-2</v>
      </c>
      <c r="K72" s="14" t="s">
        <v>1419</v>
      </c>
      <c r="L72" s="14">
        <v>5</v>
      </c>
      <c r="M72" s="26">
        <f t="shared" si="10"/>
        <v>5.5555555555555552E-2</v>
      </c>
      <c r="O72" t="s">
        <v>37</v>
      </c>
      <c r="P72">
        <f>COUNTIF(principal!P:P,O72)</f>
        <v>6</v>
      </c>
    </row>
    <row r="73" spans="1:16" x14ac:dyDescent="0.25">
      <c r="A73" t="s">
        <v>397</v>
      </c>
      <c r="B73">
        <f>COUNTIF(principal!Q:Q,A73)</f>
        <v>2</v>
      </c>
      <c r="C73" s="25">
        <f t="shared" si="8"/>
        <v>2.4691358024691357E-2</v>
      </c>
      <c r="K73" s="14" t="s">
        <v>845</v>
      </c>
      <c r="L73" s="14">
        <v>4</v>
      </c>
      <c r="M73" s="26">
        <f t="shared" si="10"/>
        <v>4.4444444444444446E-2</v>
      </c>
      <c r="O73" t="s">
        <v>466</v>
      </c>
      <c r="P73">
        <f>COUNTIF(principal!P:P,O73)</f>
        <v>7</v>
      </c>
    </row>
    <row r="74" spans="1:16" x14ac:dyDescent="0.25">
      <c r="A74" t="s">
        <v>423</v>
      </c>
      <c r="B74">
        <f>COUNTIF(principal!Q:Q,A74)</f>
        <v>2</v>
      </c>
      <c r="C74" s="25">
        <f t="shared" si="8"/>
        <v>2.4691358024691357E-2</v>
      </c>
      <c r="K74" s="14" t="s">
        <v>814</v>
      </c>
      <c r="L74" s="14">
        <v>3</v>
      </c>
      <c r="M74" s="26">
        <f t="shared" si="10"/>
        <v>3.3333333333333333E-2</v>
      </c>
      <c r="O74" t="s">
        <v>1330</v>
      </c>
      <c r="P74">
        <f>COUNTIF(principal!P:P,O74)</f>
        <v>5</v>
      </c>
    </row>
    <row r="75" spans="1:16" x14ac:dyDescent="0.25">
      <c r="A75" t="s">
        <v>534</v>
      </c>
      <c r="B75">
        <f>COUNTIF(principal!Q:Q,A75)</f>
        <v>2</v>
      </c>
      <c r="C75" s="25">
        <f t="shared" si="8"/>
        <v>2.4691358024691357E-2</v>
      </c>
      <c r="K75" s="14" t="s">
        <v>1416</v>
      </c>
      <c r="L75" s="14">
        <v>1</v>
      </c>
      <c r="M75" s="26">
        <f t="shared" si="10"/>
        <v>1.1111111111111112E-2</v>
      </c>
      <c r="O75" t="s">
        <v>365</v>
      </c>
      <c r="P75">
        <f>COUNTIF(principal!P:P,O75)</f>
        <v>2</v>
      </c>
    </row>
    <row r="76" spans="1:16" x14ac:dyDescent="0.25">
      <c r="A76" t="s">
        <v>400</v>
      </c>
      <c r="B76">
        <f>COUNTIF(principal!Q:Q,A76)</f>
        <v>3</v>
      </c>
      <c r="C76" s="25">
        <f t="shared" si="8"/>
        <v>3.7037037037037035E-2</v>
      </c>
      <c r="K76" s="14" t="s">
        <v>1417</v>
      </c>
      <c r="L76" s="14">
        <v>1</v>
      </c>
      <c r="M76" s="26">
        <f t="shared" si="10"/>
        <v>1.1111111111111112E-2</v>
      </c>
      <c r="O76" t="s">
        <v>17</v>
      </c>
      <c r="P76">
        <f>COUNTIF(principal!P:P,O76)</f>
        <v>13</v>
      </c>
    </row>
    <row r="77" spans="1:16" x14ac:dyDescent="0.25">
      <c r="A77" t="s">
        <v>384</v>
      </c>
      <c r="B77">
        <f>COUNTIF(principal!Q:Q,A77)</f>
        <v>3</v>
      </c>
      <c r="C77" s="25">
        <f t="shared" si="8"/>
        <v>3.7037037037037035E-2</v>
      </c>
      <c r="K77" s="14" t="s">
        <v>1418</v>
      </c>
      <c r="L77" s="14">
        <v>1</v>
      </c>
      <c r="M77" s="26">
        <f t="shared" si="10"/>
        <v>1.1111111111111112E-2</v>
      </c>
      <c r="P77">
        <f>SUM(P67:P76)</f>
        <v>102</v>
      </c>
    </row>
    <row r="78" spans="1:16" x14ac:dyDescent="0.25">
      <c r="A78" t="s">
        <v>381</v>
      </c>
      <c r="B78">
        <f>COUNTIF(principal!Q:Q,A78)</f>
        <v>4</v>
      </c>
      <c r="C78" s="25">
        <f t="shared" si="8"/>
        <v>4.9382716049382713E-2</v>
      </c>
    </row>
    <row r="79" spans="1:16" x14ac:dyDescent="0.25">
      <c r="A79" t="s">
        <v>424</v>
      </c>
      <c r="B79">
        <f>COUNTIF(principal!Q:Q,A79)</f>
        <v>7</v>
      </c>
      <c r="C79" s="25">
        <f t="shared" si="8"/>
        <v>8.6419753086419748E-2</v>
      </c>
    </row>
    <row r="80" spans="1:16" x14ac:dyDescent="0.25">
      <c r="A80" t="s">
        <v>453</v>
      </c>
      <c r="B80">
        <f>COUNTIF(principal!Q:Q,A80)</f>
        <v>7</v>
      </c>
      <c r="C80" s="25">
        <f t="shared" si="8"/>
        <v>8.6419753086419748E-2</v>
      </c>
    </row>
    <row r="81" spans="1:8" x14ac:dyDescent="0.25">
      <c r="A81" t="s">
        <v>375</v>
      </c>
      <c r="B81">
        <f>COUNTIF(principal!Q:Q,A81)</f>
        <v>9</v>
      </c>
      <c r="C81" s="25">
        <f t="shared" si="8"/>
        <v>0.1111111111111111</v>
      </c>
    </row>
    <row r="82" spans="1:8" x14ac:dyDescent="0.25">
      <c r="A82" t="s">
        <v>374</v>
      </c>
      <c r="B82">
        <f>COUNTIF(principal!Q:Q,A82)</f>
        <v>20</v>
      </c>
      <c r="C82" s="25">
        <f t="shared" si="8"/>
        <v>0.24691358024691357</v>
      </c>
    </row>
    <row r="83" spans="1:8" x14ac:dyDescent="0.25">
      <c r="A83" t="s">
        <v>17</v>
      </c>
      <c r="B83">
        <f>COUNTIF(principal!Q:Q,A83)</f>
        <v>21</v>
      </c>
    </row>
    <row r="84" spans="1:8" x14ac:dyDescent="0.25">
      <c r="B84">
        <f>SUM(B55:B83)</f>
        <v>102</v>
      </c>
    </row>
    <row r="88" spans="1:8" x14ac:dyDescent="0.25">
      <c r="A88" s="2" t="s">
        <v>466</v>
      </c>
      <c r="B88" s="12">
        <f>COUNTIFS(Tabla1[Learning Theory],"Sociocultural",Tabla1[Research Method],"Literature Synthesis")</f>
        <v>0</v>
      </c>
      <c r="C88" s="1"/>
      <c r="D88" s="2" t="s">
        <v>466</v>
      </c>
      <c r="E88" s="12">
        <f>COUNTIFS(Tabla1[Learning Theory],"Other",Tabla1[Research Method],"Literature Synthesis")</f>
        <v>0</v>
      </c>
      <c r="F88" s="2"/>
      <c r="G88" s="2" t="s">
        <v>466</v>
      </c>
      <c r="H88" s="12">
        <f>COUNTIFS(Tabla1[Learning Theory],"N/A",Tabla1[Research Method],"Literature Synthesis")</f>
        <v>0</v>
      </c>
    </row>
    <row r="89" spans="1:8" x14ac:dyDescent="0.25">
      <c r="A89" s="2" t="s">
        <v>36</v>
      </c>
      <c r="B89" s="12">
        <f>COUNTIFS(Tabla1[Learning Theory],"Sociocultural",Tabla1[Research Method],"Case Study")</f>
        <v>5</v>
      </c>
      <c r="C89" s="1"/>
      <c r="D89" s="2" t="s">
        <v>36</v>
      </c>
      <c r="E89" s="12">
        <v>2</v>
      </c>
      <c r="F89" s="2"/>
      <c r="G89" s="2" t="s">
        <v>36</v>
      </c>
      <c r="H89" s="12">
        <f>COUNTIFS(Tabla1[Learning Theory],"N/A",Tabla1[Research Method],"Case Study")</f>
        <v>1</v>
      </c>
    </row>
    <row r="90" spans="1:8" x14ac:dyDescent="0.25">
      <c r="A90" s="2" t="s">
        <v>365</v>
      </c>
      <c r="B90" s="12">
        <f>COUNTIFS(Tabla1[Learning Theory],"Sociocultural",Tabla1[Research Method],"Survey Questionnaire")</f>
        <v>0</v>
      </c>
      <c r="C90" s="21"/>
      <c r="D90" s="2" t="s">
        <v>365</v>
      </c>
      <c r="E90" s="12">
        <f>COUNTIFS(Tabla1[Learning Theory],"Other",Tabla1[Research Method],"Survey Questionnaire")</f>
        <v>0</v>
      </c>
      <c r="F90" s="13"/>
      <c r="G90" s="2" t="s">
        <v>365</v>
      </c>
      <c r="H90" s="12">
        <f>COUNTIFS(Tabla1[Learning Theory],"N/A",Tabla1[Research Method],"Survey Questionnaire")</f>
        <v>1</v>
      </c>
    </row>
    <row r="91" spans="1:8" x14ac:dyDescent="0.25">
      <c r="A91" s="2" t="s">
        <v>363</v>
      </c>
      <c r="B91" s="12">
        <f>COUNTIFS(Tabla1[Learning Theory],"Sociocultural",Tabla1[Research Method],"Experimental Study")</f>
        <v>0</v>
      </c>
      <c r="C91" s="13"/>
      <c r="D91" s="2" t="s">
        <v>363</v>
      </c>
      <c r="E91" s="12">
        <f>COUNTIFS(Tabla1[Learning Theory],"Other",Tabla1[Research Method],"Experimental Study")</f>
        <v>0</v>
      </c>
      <c r="F91" s="13"/>
      <c r="G91" s="2" t="s">
        <v>363</v>
      </c>
      <c r="H91" s="12">
        <f>COUNTIFS(Tabla1[Learning Theory],"N/A",Tabla1[Research Method],"Experimental Study")</f>
        <v>2</v>
      </c>
    </row>
    <row r="92" spans="1:8" x14ac:dyDescent="0.25">
      <c r="A92" s="2" t="s">
        <v>362</v>
      </c>
      <c r="B92" s="12">
        <f>COUNTIFS(Tabla1[Learning Theory],"Sociocultural",Tabla1[Research Method],"Quasi-experimental")</f>
        <v>0</v>
      </c>
      <c r="C92" s="13"/>
      <c r="D92" s="2" t="s">
        <v>362</v>
      </c>
      <c r="E92" s="12">
        <f>COUNTIFS(Tabla1[Learning Theory],"Other",Tabla1[Research Method],"Quasi-experimental")</f>
        <v>0</v>
      </c>
      <c r="F92" s="13"/>
      <c r="G92" s="2" t="s">
        <v>362</v>
      </c>
      <c r="H92" s="12">
        <f>COUNTIFS(Tabla1[Learning Theory],"N/A",Tabla1[Research Method],"Quasi-experimental")</f>
        <v>0</v>
      </c>
    </row>
    <row r="93" spans="1:8" x14ac:dyDescent="0.25">
      <c r="A93" s="2" t="s">
        <v>367</v>
      </c>
      <c r="B93" s="12">
        <f>COUNTIFS(Tabla1[Learning Theory],"Sociocultural",Tabla1[Research Method],"Descriptive")</f>
        <v>0</v>
      </c>
      <c r="C93" s="13"/>
      <c r="D93" s="2" t="s">
        <v>367</v>
      </c>
      <c r="E93" s="12">
        <f>COUNTIFS(Tabla1[Learning Theory],"Other",Tabla1[Research Method],"Descriptive")</f>
        <v>0</v>
      </c>
      <c r="F93" s="13"/>
      <c r="G93" s="2" t="s">
        <v>367</v>
      </c>
      <c r="H93" s="12">
        <f>COUNTIFS(Tabla1[Learning Theory],"N/A",Tabla1[Research Method],"Descriptive")</f>
        <v>0</v>
      </c>
    </row>
    <row r="94" spans="1:8" x14ac:dyDescent="0.25">
      <c r="A94" s="2" t="s">
        <v>366</v>
      </c>
      <c r="B94" s="12">
        <f>COUNTIFS(Tabla1[Learning Theory],"Sociocultural",Tabla1[Research Method],"Ethnographic")</f>
        <v>2</v>
      </c>
      <c r="C94" s="13"/>
      <c r="D94" s="2" t="s">
        <v>366</v>
      </c>
      <c r="E94" s="12">
        <v>1</v>
      </c>
      <c r="F94" s="13"/>
      <c r="G94" s="2" t="s">
        <v>366</v>
      </c>
      <c r="H94" s="12">
        <f>COUNTIFS(Tabla1[Learning Theory],"N/A",Tabla1[Research Method],"Ethnographic")</f>
        <v>3</v>
      </c>
    </row>
    <row r="95" spans="1:8" x14ac:dyDescent="0.25">
      <c r="A95" s="2" t="s">
        <v>1406</v>
      </c>
      <c r="B95" s="12">
        <f>COUNTIFS(Tabla1[Learning Theory],"Sociocultural",Tabla1[Research Method],"DBR")</f>
        <v>0</v>
      </c>
      <c r="C95" s="13"/>
      <c r="D95" s="2" t="s">
        <v>1406</v>
      </c>
      <c r="E95" s="12">
        <f>COUNTIFS(Tabla1[Learning Theory],"Other",Tabla1[Research Method],"DBR")</f>
        <v>0</v>
      </c>
      <c r="F95" s="13"/>
      <c r="G95" s="2" t="s">
        <v>1406</v>
      </c>
      <c r="H95" s="12">
        <f>COUNTIFS(Tabla1[Learning Theory],"N/A",Tabla1[Research Method],"DBR")</f>
        <v>1</v>
      </c>
    </row>
    <row r="96" spans="1:8" x14ac:dyDescent="0.25">
      <c r="A96" s="2" t="s">
        <v>37</v>
      </c>
      <c r="B96" s="12">
        <f>COUNTIFS(Tabla1[Learning Theory],"Sociocultural",Tabla1[Research Method],"Exploratory Data Analysis")</f>
        <v>0</v>
      </c>
      <c r="C96" s="1"/>
      <c r="D96" s="2" t="s">
        <v>37</v>
      </c>
      <c r="E96" s="12">
        <f>COUNTIFS(Tabla1[Learning Theory],"Other",Tabla1[Research Method],"Exploratory Data Analysis")</f>
        <v>0</v>
      </c>
      <c r="F96" s="13"/>
      <c r="G96" s="2" t="s">
        <v>37</v>
      </c>
      <c r="H96" s="12">
        <f>COUNTIFS(Tabla1[Learning Theory],"N/A",Tabla1[Research Method],"Exploratory Data Analysis")</f>
        <v>2</v>
      </c>
    </row>
    <row r="97" spans="1:9" x14ac:dyDescent="0.25">
      <c r="A97" s="2" t="s">
        <v>17</v>
      </c>
      <c r="B97" s="12">
        <f>COUNTIFS(Tabla1[Learning Theory],"Sociocultural",Tabla1[Research Method],"N/A")</f>
        <v>0</v>
      </c>
      <c r="C97" s="1"/>
      <c r="D97" s="2" t="s">
        <v>17</v>
      </c>
      <c r="E97" s="12">
        <f>COUNTIFS(Tabla1[Learning Theory],"Other",Tabla1[Research Method],"N/A")</f>
        <v>0</v>
      </c>
      <c r="F97" s="13"/>
      <c r="G97" s="2" t="s">
        <v>17</v>
      </c>
      <c r="H97" s="12">
        <f>COUNTIFS(Tabla1[Learning Theory],"N/A",Tabla1[Research Method],"N/A")</f>
        <v>2</v>
      </c>
    </row>
    <row r="98" spans="1:9" x14ac:dyDescent="0.25">
      <c r="A98" s="2"/>
      <c r="B98" s="1">
        <f>SUM(B88:B97)</f>
        <v>7</v>
      </c>
      <c r="C98" s="13"/>
      <c r="D98" s="13"/>
      <c r="E98" s="1">
        <f>SUM(E88:E97)</f>
        <v>3</v>
      </c>
      <c r="F98" s="13"/>
      <c r="G98" s="13"/>
      <c r="H98" s="1">
        <f>SUM(H88:H97)</f>
        <v>12</v>
      </c>
    </row>
    <row r="99" spans="1:9" x14ac:dyDescent="0.25">
      <c r="A99" s="2"/>
      <c r="B99" s="1"/>
      <c r="C99" s="13"/>
      <c r="D99" s="13"/>
      <c r="E99" s="13"/>
      <c r="F99" s="13"/>
      <c r="G99" s="13"/>
      <c r="H99" s="13"/>
    </row>
    <row r="100" spans="1:9" x14ac:dyDescent="0.25">
      <c r="A100" s="2"/>
      <c r="B100" s="1"/>
      <c r="C100" s="13"/>
      <c r="D100" s="13"/>
      <c r="E100" s="13"/>
      <c r="F100" s="13"/>
      <c r="G100" s="13"/>
      <c r="H100" s="13"/>
    </row>
    <row r="101" spans="1:9" x14ac:dyDescent="0.25">
      <c r="A101" s="2"/>
      <c r="B101" s="1"/>
      <c r="C101" s="13"/>
      <c r="D101" s="13"/>
      <c r="E101" s="13"/>
      <c r="F101" s="13"/>
      <c r="G101" s="13"/>
      <c r="H101" s="13"/>
    </row>
    <row r="102" spans="1:9" x14ac:dyDescent="0.25">
      <c r="A102" s="2"/>
      <c r="B102" s="1"/>
      <c r="C102" s="13"/>
      <c r="D102" s="13"/>
      <c r="E102" s="13"/>
      <c r="F102" s="13"/>
      <c r="G102" s="13"/>
      <c r="H102" s="13"/>
    </row>
    <row r="107" spans="1:9" x14ac:dyDescent="0.25">
      <c r="A107" t="s">
        <v>1410</v>
      </c>
    </row>
    <row r="108" spans="1:9" x14ac:dyDescent="0.25">
      <c r="A108" s="11"/>
      <c r="B108" s="12" t="s">
        <v>1338</v>
      </c>
      <c r="C108" s="12" t="s">
        <v>1339</v>
      </c>
      <c r="D108" s="12" t="s">
        <v>1340</v>
      </c>
      <c r="E108" s="12" t="s">
        <v>1347</v>
      </c>
      <c r="F108" s="12" t="s">
        <v>1350</v>
      </c>
      <c r="G108" s="12" t="s">
        <v>1412</v>
      </c>
      <c r="H108" s="12"/>
      <c r="I108" s="12"/>
    </row>
    <row r="109" spans="1:9" x14ac:dyDescent="0.25">
      <c r="A109" s="11" t="s">
        <v>1334</v>
      </c>
      <c r="B109" s="17">
        <v>8</v>
      </c>
      <c r="C109" s="17">
        <v>0</v>
      </c>
      <c r="D109" s="17">
        <v>0</v>
      </c>
      <c r="E109" s="17">
        <v>0</v>
      </c>
      <c r="F109" s="17">
        <v>0</v>
      </c>
      <c r="G109" s="17">
        <v>0</v>
      </c>
      <c r="H109" s="12">
        <f>SUM(B109:G109)</f>
        <v>8</v>
      </c>
      <c r="I109" s="16">
        <f>$H109/$H$116</f>
        <v>0.21052631578947367</v>
      </c>
    </row>
    <row r="110" spans="1:9" x14ac:dyDescent="0.25">
      <c r="A110" s="11" t="s">
        <v>7</v>
      </c>
      <c r="B110" s="17">
        <v>0</v>
      </c>
      <c r="C110" s="17">
        <v>0</v>
      </c>
      <c r="D110" s="17">
        <v>2</v>
      </c>
      <c r="E110" s="17">
        <v>0</v>
      </c>
      <c r="F110" s="17">
        <v>2</v>
      </c>
      <c r="G110" s="17">
        <v>0</v>
      </c>
      <c r="H110" s="12">
        <f t="shared" ref="H110:H115" si="11">SUM(B110:G110)</f>
        <v>4</v>
      </c>
      <c r="I110" s="16">
        <f>$H110/$H$116</f>
        <v>0.10526315789473684</v>
      </c>
    </row>
    <row r="111" spans="1:9" x14ac:dyDescent="0.25">
      <c r="A111" s="11" t="s">
        <v>1335</v>
      </c>
      <c r="B111" s="17">
        <v>1</v>
      </c>
      <c r="C111" s="17">
        <v>0</v>
      </c>
      <c r="D111" s="17">
        <v>0</v>
      </c>
      <c r="E111" s="17">
        <v>0</v>
      </c>
      <c r="F111" s="17">
        <v>0</v>
      </c>
      <c r="G111" s="17">
        <v>0</v>
      </c>
      <c r="H111" s="12">
        <f t="shared" si="11"/>
        <v>1</v>
      </c>
      <c r="I111" s="16">
        <f t="shared" ref="I111:I115" si="12">$H111/$H$116</f>
        <v>2.6315789473684209E-2</v>
      </c>
    </row>
    <row r="112" spans="1:9" x14ac:dyDescent="0.25">
      <c r="A112" s="11" t="s">
        <v>455</v>
      </c>
      <c r="B112" s="17">
        <v>1</v>
      </c>
      <c r="C112" s="17">
        <v>0</v>
      </c>
      <c r="D112" s="17">
        <v>0</v>
      </c>
      <c r="E112" s="17">
        <v>0</v>
      </c>
      <c r="F112" s="17">
        <v>0</v>
      </c>
      <c r="G112" s="17">
        <v>0</v>
      </c>
      <c r="H112" s="12">
        <f t="shared" si="11"/>
        <v>1</v>
      </c>
      <c r="I112" s="16">
        <f t="shared" si="12"/>
        <v>2.6315789473684209E-2</v>
      </c>
    </row>
    <row r="113" spans="1:9" x14ac:dyDescent="0.25">
      <c r="A113" s="11" t="s">
        <v>372</v>
      </c>
      <c r="B113" s="17">
        <v>2</v>
      </c>
      <c r="C113" s="17">
        <v>2</v>
      </c>
      <c r="D113" s="17">
        <v>0</v>
      </c>
      <c r="E113" s="17">
        <v>1</v>
      </c>
      <c r="F113" s="17">
        <v>0</v>
      </c>
      <c r="G113" s="17">
        <v>1</v>
      </c>
      <c r="H113" s="12">
        <f t="shared" si="11"/>
        <v>6</v>
      </c>
      <c r="I113" s="16">
        <f t="shared" si="12"/>
        <v>0.15789473684210525</v>
      </c>
    </row>
    <row r="114" spans="1:9" x14ac:dyDescent="0.25">
      <c r="A114" s="11" t="s">
        <v>1412</v>
      </c>
      <c r="B114" s="17">
        <v>0</v>
      </c>
      <c r="C114" s="17">
        <v>0</v>
      </c>
      <c r="D114" s="17">
        <v>0</v>
      </c>
      <c r="E114" s="17">
        <v>0</v>
      </c>
      <c r="F114" s="17">
        <v>0</v>
      </c>
      <c r="G114" s="17">
        <v>0</v>
      </c>
      <c r="H114" s="12">
        <f t="shared" si="11"/>
        <v>0</v>
      </c>
      <c r="I114" s="16">
        <f t="shared" si="12"/>
        <v>0</v>
      </c>
    </row>
    <row r="115" spans="1:9" x14ac:dyDescent="0.25">
      <c r="A115" s="11" t="s">
        <v>1337</v>
      </c>
      <c r="B115" s="17">
        <v>0</v>
      </c>
      <c r="C115" s="17">
        <v>0</v>
      </c>
      <c r="D115" s="17">
        <v>0</v>
      </c>
      <c r="E115" s="17">
        <v>0</v>
      </c>
      <c r="F115" s="17">
        <v>0</v>
      </c>
      <c r="G115" s="17">
        <v>0</v>
      </c>
      <c r="H115" s="12">
        <f t="shared" si="11"/>
        <v>0</v>
      </c>
      <c r="I115" s="16">
        <f t="shared" si="12"/>
        <v>0</v>
      </c>
    </row>
    <row r="116" spans="1:9" x14ac:dyDescent="0.25">
      <c r="B116" s="12">
        <f>SUM(B109:B115)</f>
        <v>12</v>
      </c>
      <c r="C116" s="12">
        <f>SUM(C109:C115)</f>
        <v>2</v>
      </c>
      <c r="D116" s="12">
        <f>SUM(D109:D115)</f>
        <v>2</v>
      </c>
      <c r="E116" s="12">
        <f>SUM(E109:E115)</f>
        <v>1</v>
      </c>
      <c r="F116" s="12">
        <f>SUM(F109:F115)</f>
        <v>2</v>
      </c>
      <c r="G116">
        <v>19</v>
      </c>
      <c r="H116" s="12">
        <f>SUM(B116:G116)</f>
        <v>38</v>
      </c>
      <c r="I116" s="16"/>
    </row>
    <row r="117" spans="1:9" x14ac:dyDescent="0.25">
      <c r="B117" s="18">
        <f t="shared" ref="B117:H117" si="13">B$38/$H$38</f>
        <v>0.48936170212765956</v>
      </c>
      <c r="C117" s="18">
        <f t="shared" si="13"/>
        <v>0.19148936170212766</v>
      </c>
      <c r="D117" s="18">
        <f t="shared" si="13"/>
        <v>3.8297872340425532E-2</v>
      </c>
      <c r="E117" s="18">
        <f t="shared" si="13"/>
        <v>0.14042553191489363</v>
      </c>
      <c r="F117" s="18">
        <f t="shared" si="13"/>
        <v>5.9574468085106386E-2</v>
      </c>
      <c r="G117" s="18">
        <f t="shared" si="13"/>
        <v>8.085106382978724E-2</v>
      </c>
      <c r="H117" s="18">
        <f t="shared" si="13"/>
        <v>1</v>
      </c>
      <c r="I117" s="18"/>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42D46-989C-4E48-8D13-F09BAADD77EF}">
  <dimension ref="A2:Q103"/>
  <sheetViews>
    <sheetView topLeftCell="A79" zoomScale="70" zoomScaleNormal="70" workbookViewId="0">
      <selection activeCell="A35" sqref="A35:B38"/>
    </sheetView>
  </sheetViews>
  <sheetFormatPr baseColWidth="10" defaultColWidth="14.5703125" defaultRowHeight="15" x14ac:dyDescent="0.25"/>
  <cols>
    <col min="1" max="16384" width="14.5703125" style="12"/>
  </cols>
  <sheetData>
    <row r="2" spans="16:17" x14ac:dyDescent="0.25">
      <c r="P2" s="12" t="s">
        <v>541</v>
      </c>
      <c r="Q2" s="12" t="s">
        <v>541</v>
      </c>
    </row>
    <row r="3" spans="16:17" x14ac:dyDescent="0.25">
      <c r="P3" s="12" t="s">
        <v>541</v>
      </c>
      <c r="Q3" s="12" t="s">
        <v>541</v>
      </c>
    </row>
    <row r="4" spans="16:17" x14ac:dyDescent="0.25">
      <c r="P4" s="12" t="s">
        <v>559</v>
      </c>
      <c r="Q4" s="12" t="s">
        <v>1407</v>
      </c>
    </row>
    <row r="5" spans="16:17" x14ac:dyDescent="0.25">
      <c r="P5" s="12" t="s">
        <v>541</v>
      </c>
      <c r="Q5" s="12" t="s">
        <v>541</v>
      </c>
    </row>
    <row r="6" spans="16:17" x14ac:dyDescent="0.25">
      <c r="P6" s="12" t="s">
        <v>541</v>
      </c>
      <c r="Q6" s="12" t="s">
        <v>541</v>
      </c>
    </row>
    <row r="7" spans="16:17" x14ac:dyDescent="0.25">
      <c r="P7" s="12" t="s">
        <v>541</v>
      </c>
      <c r="Q7" s="12" t="s">
        <v>541</v>
      </c>
    </row>
    <row r="8" spans="16:17" x14ac:dyDescent="0.25">
      <c r="P8" s="12" t="s">
        <v>17</v>
      </c>
      <c r="Q8" s="12" t="s">
        <v>17</v>
      </c>
    </row>
    <row r="9" spans="16:17" x14ac:dyDescent="0.25">
      <c r="P9" s="12" t="s">
        <v>17</v>
      </c>
      <c r="Q9" s="12" t="s">
        <v>17</v>
      </c>
    </row>
    <row r="10" spans="16:17" x14ac:dyDescent="0.25">
      <c r="P10" s="12" t="s">
        <v>541</v>
      </c>
      <c r="Q10" s="12" t="s">
        <v>541</v>
      </c>
    </row>
    <row r="11" spans="16:17" x14ac:dyDescent="0.25">
      <c r="P11" s="12" t="s">
        <v>17</v>
      </c>
      <c r="Q11" s="12" t="s">
        <v>17</v>
      </c>
    </row>
    <row r="12" spans="16:17" x14ac:dyDescent="0.25">
      <c r="P12" s="12" t="s">
        <v>541</v>
      </c>
      <c r="Q12" s="12" t="s">
        <v>541</v>
      </c>
    </row>
    <row r="13" spans="16:17" x14ac:dyDescent="0.25">
      <c r="P13" s="12" t="s">
        <v>952</v>
      </c>
      <c r="Q13" s="12" t="s">
        <v>952</v>
      </c>
    </row>
    <row r="14" spans="16:17" x14ac:dyDescent="0.25">
      <c r="P14" s="12" t="s">
        <v>748</v>
      </c>
      <c r="Q14" s="12" t="s">
        <v>357</v>
      </c>
    </row>
    <row r="15" spans="16:17" x14ac:dyDescent="0.25">
      <c r="P15" s="12" t="s">
        <v>541</v>
      </c>
      <c r="Q15" s="12" t="s">
        <v>541</v>
      </c>
    </row>
    <row r="16" spans="16:17" x14ac:dyDescent="0.25">
      <c r="P16" s="12" t="s">
        <v>845</v>
      </c>
      <c r="Q16" s="12" t="s">
        <v>541</v>
      </c>
    </row>
    <row r="17" spans="4:17" x14ac:dyDescent="0.25">
      <c r="D17" s="22"/>
      <c r="E17" s="22"/>
      <c r="P17" s="12" t="s">
        <v>541</v>
      </c>
      <c r="Q17" s="12" t="s">
        <v>541</v>
      </c>
    </row>
    <row r="18" spans="4:17" x14ac:dyDescent="0.25">
      <c r="D18" s="22"/>
      <c r="E18" s="22"/>
      <c r="P18" s="12" t="s">
        <v>541</v>
      </c>
      <c r="Q18" s="12" t="s">
        <v>541</v>
      </c>
    </row>
    <row r="19" spans="4:17" x14ac:dyDescent="0.25">
      <c r="D19" s="22"/>
      <c r="E19" s="22"/>
      <c r="P19" s="12" t="s">
        <v>541</v>
      </c>
      <c r="Q19" s="12" t="s">
        <v>541</v>
      </c>
    </row>
    <row r="20" spans="4:17" x14ac:dyDescent="0.25">
      <c r="D20" s="23"/>
      <c r="E20" s="23"/>
      <c r="P20" s="12" t="s">
        <v>747</v>
      </c>
      <c r="Q20" s="12" t="s">
        <v>1407</v>
      </c>
    </row>
    <row r="21" spans="4:17" x14ac:dyDescent="0.25">
      <c r="P21" s="12" t="s">
        <v>541</v>
      </c>
      <c r="Q21" s="12" t="s">
        <v>541</v>
      </c>
    </row>
    <row r="22" spans="4:17" x14ac:dyDescent="0.25">
      <c r="P22" s="12" t="s">
        <v>17</v>
      </c>
      <c r="Q22" s="12" t="s">
        <v>17</v>
      </c>
    </row>
    <row r="23" spans="4:17" x14ac:dyDescent="0.25">
      <c r="P23" s="12" t="s">
        <v>541</v>
      </c>
      <c r="Q23" s="12" t="s">
        <v>541</v>
      </c>
    </row>
    <row r="24" spans="4:17" x14ac:dyDescent="0.25">
      <c r="P24" s="12" t="s">
        <v>541</v>
      </c>
      <c r="Q24" s="12" t="s">
        <v>541</v>
      </c>
    </row>
    <row r="25" spans="4:17" x14ac:dyDescent="0.25">
      <c r="P25" s="12" t="s">
        <v>541</v>
      </c>
      <c r="Q25" s="12" t="s">
        <v>541</v>
      </c>
    </row>
    <row r="26" spans="4:17" x14ac:dyDescent="0.25">
      <c r="P26" s="12" t="s">
        <v>541</v>
      </c>
      <c r="Q26" s="12" t="s">
        <v>541</v>
      </c>
    </row>
    <row r="27" spans="4:17" x14ac:dyDescent="0.25">
      <c r="P27" s="12" t="s">
        <v>541</v>
      </c>
      <c r="Q27" s="12" t="s">
        <v>541</v>
      </c>
    </row>
    <row r="28" spans="4:17" x14ac:dyDescent="0.25">
      <c r="P28" s="12" t="s">
        <v>541</v>
      </c>
      <c r="Q28" s="12" t="s">
        <v>541</v>
      </c>
    </row>
    <row r="29" spans="4:17" x14ac:dyDescent="0.25">
      <c r="P29" s="12" t="s">
        <v>541</v>
      </c>
      <c r="Q29" s="12" t="s">
        <v>541</v>
      </c>
    </row>
    <row r="30" spans="4:17" x14ac:dyDescent="0.25">
      <c r="P30" s="12" t="s">
        <v>17</v>
      </c>
      <c r="Q30" s="12" t="s">
        <v>17</v>
      </c>
    </row>
    <row r="31" spans="4:17" x14ac:dyDescent="0.25">
      <c r="P31" s="12" t="s">
        <v>541</v>
      </c>
      <c r="Q31" s="12" t="s">
        <v>541</v>
      </c>
    </row>
    <row r="32" spans="4:17" x14ac:dyDescent="0.25">
      <c r="P32" s="12" t="s">
        <v>541</v>
      </c>
      <c r="Q32" s="12" t="s">
        <v>541</v>
      </c>
    </row>
    <row r="33" spans="1:17" x14ac:dyDescent="0.25">
      <c r="P33" s="12" t="s">
        <v>1111</v>
      </c>
      <c r="Q33" s="12" t="s">
        <v>541</v>
      </c>
    </row>
    <row r="34" spans="1:17" x14ac:dyDescent="0.25">
      <c r="P34" s="12" t="s">
        <v>541</v>
      </c>
      <c r="Q34" s="12" t="s">
        <v>541</v>
      </c>
    </row>
    <row r="35" spans="1:17" x14ac:dyDescent="0.25">
      <c r="P35" s="12" t="s">
        <v>541</v>
      </c>
      <c r="Q35" s="12" t="s">
        <v>541</v>
      </c>
    </row>
    <row r="36" spans="1:17" x14ac:dyDescent="0.25">
      <c r="P36" s="12" t="s">
        <v>541</v>
      </c>
      <c r="Q36" s="12" t="s">
        <v>541</v>
      </c>
    </row>
    <row r="37" spans="1:17" x14ac:dyDescent="0.25">
      <c r="P37" s="12" t="s">
        <v>541</v>
      </c>
      <c r="Q37" s="12" t="s">
        <v>541</v>
      </c>
    </row>
    <row r="38" spans="1:17" x14ac:dyDescent="0.25">
      <c r="P38" s="12" t="s">
        <v>541</v>
      </c>
      <c r="Q38" s="12" t="s">
        <v>541</v>
      </c>
    </row>
    <row r="39" spans="1:17" x14ac:dyDescent="0.25">
      <c r="P39" s="12" t="s">
        <v>541</v>
      </c>
      <c r="Q39" s="12" t="s">
        <v>541</v>
      </c>
    </row>
    <row r="40" spans="1:17" x14ac:dyDescent="0.25">
      <c r="A40" s="22"/>
      <c r="P40" s="12" t="s">
        <v>541</v>
      </c>
      <c r="Q40" s="12" t="s">
        <v>541</v>
      </c>
    </row>
    <row r="41" spans="1:17" x14ac:dyDescent="0.25">
      <c r="A41" s="22"/>
      <c r="P41" s="12" t="s">
        <v>541</v>
      </c>
      <c r="Q41" s="12" t="s">
        <v>541</v>
      </c>
    </row>
    <row r="42" spans="1:17" x14ac:dyDescent="0.25">
      <c r="A42" s="22"/>
      <c r="P42" s="12" t="s">
        <v>541</v>
      </c>
      <c r="Q42" s="12" t="s">
        <v>541</v>
      </c>
    </row>
    <row r="43" spans="1:17" x14ac:dyDescent="0.25">
      <c r="A43" s="22"/>
      <c r="P43" s="12" t="s">
        <v>541</v>
      </c>
      <c r="Q43" s="12" t="s">
        <v>541</v>
      </c>
    </row>
    <row r="44" spans="1:17" x14ac:dyDescent="0.25">
      <c r="P44" s="12" t="s">
        <v>541</v>
      </c>
      <c r="Q44" s="12" t="s">
        <v>541</v>
      </c>
    </row>
    <row r="45" spans="1:17" x14ac:dyDescent="0.25">
      <c r="A45" s="22"/>
      <c r="P45" s="12" t="s">
        <v>738</v>
      </c>
      <c r="Q45" s="12" t="s">
        <v>541</v>
      </c>
    </row>
    <row r="46" spans="1:17" x14ac:dyDescent="0.25">
      <c r="A46" s="22"/>
      <c r="P46" s="12" t="s">
        <v>741</v>
      </c>
      <c r="Q46" s="12" t="s">
        <v>541</v>
      </c>
    </row>
    <row r="47" spans="1:17" x14ac:dyDescent="0.25">
      <c r="P47" s="12" t="s">
        <v>741</v>
      </c>
      <c r="Q47" s="12" t="s">
        <v>541</v>
      </c>
    </row>
    <row r="48" spans="1:17" x14ac:dyDescent="0.25">
      <c r="P48" s="12" t="s">
        <v>541</v>
      </c>
      <c r="Q48" s="12" t="s">
        <v>541</v>
      </c>
    </row>
    <row r="49" spans="16:17" x14ac:dyDescent="0.25">
      <c r="P49" s="12" t="s">
        <v>541</v>
      </c>
      <c r="Q49" s="12" t="s">
        <v>541</v>
      </c>
    </row>
    <row r="50" spans="16:17" x14ac:dyDescent="0.25">
      <c r="P50" s="12" t="s">
        <v>541</v>
      </c>
      <c r="Q50" s="12" t="s">
        <v>541</v>
      </c>
    </row>
    <row r="51" spans="16:17" x14ac:dyDescent="0.25">
      <c r="P51" s="12" t="s">
        <v>541</v>
      </c>
      <c r="Q51" s="12" t="s">
        <v>541</v>
      </c>
    </row>
    <row r="52" spans="16:17" x14ac:dyDescent="0.25">
      <c r="P52" s="12" t="s">
        <v>17</v>
      </c>
      <c r="Q52" s="12" t="s">
        <v>17</v>
      </c>
    </row>
    <row r="53" spans="16:17" x14ac:dyDescent="0.25">
      <c r="P53" s="12" t="s">
        <v>541</v>
      </c>
      <c r="Q53" s="12" t="s">
        <v>541</v>
      </c>
    </row>
    <row r="54" spans="16:17" x14ac:dyDescent="0.25">
      <c r="P54" s="12" t="s">
        <v>541</v>
      </c>
      <c r="Q54" s="12" t="s">
        <v>541</v>
      </c>
    </row>
    <row r="55" spans="16:17" x14ac:dyDescent="0.25">
      <c r="P55" s="12" t="s">
        <v>541</v>
      </c>
      <c r="Q55" s="12" t="s">
        <v>541</v>
      </c>
    </row>
    <row r="56" spans="16:17" x14ac:dyDescent="0.25">
      <c r="P56" s="12" t="s">
        <v>541</v>
      </c>
      <c r="Q56" s="12" t="s">
        <v>541</v>
      </c>
    </row>
    <row r="57" spans="16:17" x14ac:dyDescent="0.25">
      <c r="P57" s="12" t="s">
        <v>541</v>
      </c>
      <c r="Q57" s="12" t="s">
        <v>541</v>
      </c>
    </row>
    <row r="58" spans="16:17" x14ac:dyDescent="0.25">
      <c r="P58" s="12" t="s">
        <v>541</v>
      </c>
      <c r="Q58" s="12" t="s">
        <v>541</v>
      </c>
    </row>
    <row r="59" spans="16:17" x14ac:dyDescent="0.25">
      <c r="P59" s="12" t="s">
        <v>17</v>
      </c>
      <c r="Q59" s="12" t="s">
        <v>17</v>
      </c>
    </row>
    <row r="60" spans="16:17" x14ac:dyDescent="0.25">
      <c r="P60" s="12" t="s">
        <v>541</v>
      </c>
      <c r="Q60" s="12" t="s">
        <v>541</v>
      </c>
    </row>
    <row r="61" spans="16:17" x14ac:dyDescent="0.25">
      <c r="P61" s="12" t="s">
        <v>17</v>
      </c>
      <c r="Q61" s="12" t="s">
        <v>17</v>
      </c>
    </row>
    <row r="62" spans="16:17" x14ac:dyDescent="0.25">
      <c r="P62" s="12" t="s">
        <v>541</v>
      </c>
      <c r="Q62" s="12" t="s">
        <v>541</v>
      </c>
    </row>
    <row r="63" spans="16:17" x14ac:dyDescent="0.25">
      <c r="P63" s="12" t="s">
        <v>541</v>
      </c>
      <c r="Q63" s="12" t="s">
        <v>541</v>
      </c>
    </row>
    <row r="64" spans="16:17" x14ac:dyDescent="0.25">
      <c r="P64" s="12" t="s">
        <v>814</v>
      </c>
      <c r="Q64" s="12" t="s">
        <v>541</v>
      </c>
    </row>
    <row r="65" spans="16:17" x14ac:dyDescent="0.25">
      <c r="P65" s="12" t="s">
        <v>541</v>
      </c>
      <c r="Q65" s="12" t="s">
        <v>541</v>
      </c>
    </row>
    <row r="66" spans="16:17" x14ac:dyDescent="0.25">
      <c r="P66" s="12" t="s">
        <v>541</v>
      </c>
      <c r="Q66" s="12" t="s">
        <v>541</v>
      </c>
    </row>
    <row r="67" spans="16:17" x14ac:dyDescent="0.25">
      <c r="P67" s="12" t="s">
        <v>17</v>
      </c>
      <c r="Q67" s="12" t="s">
        <v>17</v>
      </c>
    </row>
    <row r="68" spans="16:17" x14ac:dyDescent="0.25">
      <c r="P68" s="12" t="s">
        <v>845</v>
      </c>
      <c r="Q68" s="12" t="s">
        <v>541</v>
      </c>
    </row>
    <row r="69" spans="16:17" x14ac:dyDescent="0.25">
      <c r="P69" s="12" t="s">
        <v>854</v>
      </c>
      <c r="Q69" s="12" t="s">
        <v>541</v>
      </c>
    </row>
    <row r="70" spans="16:17" x14ac:dyDescent="0.25">
      <c r="P70" s="12" t="s">
        <v>860</v>
      </c>
      <c r="Q70" s="12" t="s">
        <v>541</v>
      </c>
    </row>
    <row r="71" spans="16:17" x14ac:dyDescent="0.25">
      <c r="P71" s="12" t="s">
        <v>541</v>
      </c>
      <c r="Q71" s="12" t="s">
        <v>541</v>
      </c>
    </row>
    <row r="72" spans="16:17" x14ac:dyDescent="0.25">
      <c r="P72" s="12" t="s">
        <v>541</v>
      </c>
      <c r="Q72" s="12" t="s">
        <v>541</v>
      </c>
    </row>
    <row r="73" spans="16:17" x14ac:dyDescent="0.25">
      <c r="P73" s="12" t="s">
        <v>17</v>
      </c>
      <c r="Q73" s="12" t="s">
        <v>17</v>
      </c>
    </row>
    <row r="74" spans="16:17" x14ac:dyDescent="0.25">
      <c r="P74" s="12" t="s">
        <v>882</v>
      </c>
      <c r="Q74" s="12" t="s">
        <v>357</v>
      </c>
    </row>
    <row r="75" spans="16:17" x14ac:dyDescent="0.25">
      <c r="P75" s="12" t="s">
        <v>881</v>
      </c>
      <c r="Q75" s="12" t="s">
        <v>1407</v>
      </c>
    </row>
    <row r="76" spans="16:17" x14ac:dyDescent="0.25">
      <c r="P76" s="12" t="s">
        <v>541</v>
      </c>
      <c r="Q76" s="12" t="s">
        <v>541</v>
      </c>
    </row>
    <row r="77" spans="16:17" x14ac:dyDescent="0.25">
      <c r="P77" s="12" t="s">
        <v>541</v>
      </c>
      <c r="Q77" s="12" t="s">
        <v>541</v>
      </c>
    </row>
    <row r="78" spans="16:17" x14ac:dyDescent="0.25">
      <c r="P78" s="12" t="s">
        <v>1227</v>
      </c>
      <c r="Q78" s="12" t="s">
        <v>541</v>
      </c>
    </row>
    <row r="79" spans="16:17" x14ac:dyDescent="0.25">
      <c r="P79" s="12" t="s">
        <v>541</v>
      </c>
      <c r="Q79" s="12" t="s">
        <v>541</v>
      </c>
    </row>
    <row r="80" spans="16:17" x14ac:dyDescent="0.25">
      <c r="P80" s="12" t="s">
        <v>902</v>
      </c>
      <c r="Q80" s="12" t="s">
        <v>357</v>
      </c>
    </row>
    <row r="81" spans="16:17" x14ac:dyDescent="0.25">
      <c r="P81" s="12" t="s">
        <v>1111</v>
      </c>
      <c r="Q81" s="12" t="s">
        <v>541</v>
      </c>
    </row>
    <row r="82" spans="16:17" x14ac:dyDescent="0.25">
      <c r="P82" s="12" t="s">
        <v>915</v>
      </c>
      <c r="Q82" s="12" t="s">
        <v>1407</v>
      </c>
    </row>
    <row r="83" spans="16:17" x14ac:dyDescent="0.25">
      <c r="P83" s="12" t="s">
        <v>1248</v>
      </c>
      <c r="Q83" s="12" t="s">
        <v>541</v>
      </c>
    </row>
    <row r="84" spans="16:17" x14ac:dyDescent="0.25">
      <c r="P84" s="12" t="s">
        <v>541</v>
      </c>
      <c r="Q84" s="12" t="s">
        <v>541</v>
      </c>
    </row>
    <row r="85" spans="16:17" x14ac:dyDescent="0.25">
      <c r="P85" s="12" t="s">
        <v>541</v>
      </c>
      <c r="Q85" s="12" t="s">
        <v>541</v>
      </c>
    </row>
    <row r="86" spans="16:17" x14ac:dyDescent="0.25">
      <c r="P86" s="12" t="s">
        <v>17</v>
      </c>
      <c r="Q86" s="12" t="s">
        <v>17</v>
      </c>
    </row>
    <row r="87" spans="16:17" x14ac:dyDescent="0.25">
      <c r="P87" s="12" t="s">
        <v>541</v>
      </c>
      <c r="Q87" s="12" t="s">
        <v>541</v>
      </c>
    </row>
    <row r="88" spans="16:17" x14ac:dyDescent="0.25">
      <c r="P88" s="12" t="s">
        <v>541</v>
      </c>
      <c r="Q88" s="12" t="s">
        <v>541</v>
      </c>
    </row>
    <row r="89" spans="16:17" x14ac:dyDescent="0.25">
      <c r="P89" s="12" t="s">
        <v>541</v>
      </c>
      <c r="Q89" s="12" t="s">
        <v>541</v>
      </c>
    </row>
    <row r="90" spans="16:17" x14ac:dyDescent="0.25">
      <c r="P90" s="12" t="s">
        <v>952</v>
      </c>
      <c r="Q90" s="12" t="s">
        <v>952</v>
      </c>
    </row>
    <row r="91" spans="16:17" x14ac:dyDescent="0.25">
      <c r="P91" s="12" t="s">
        <v>541</v>
      </c>
      <c r="Q91" s="12" t="s">
        <v>541</v>
      </c>
    </row>
    <row r="92" spans="16:17" x14ac:dyDescent="0.25">
      <c r="P92" s="12" t="s">
        <v>541</v>
      </c>
      <c r="Q92" s="12" t="s">
        <v>541</v>
      </c>
    </row>
    <row r="93" spans="16:17" x14ac:dyDescent="0.25">
      <c r="P93" s="12" t="s">
        <v>541</v>
      </c>
      <c r="Q93" s="12" t="s">
        <v>541</v>
      </c>
    </row>
    <row r="94" spans="16:17" x14ac:dyDescent="0.25">
      <c r="P94" s="12" t="s">
        <v>541</v>
      </c>
      <c r="Q94" s="12" t="s">
        <v>541</v>
      </c>
    </row>
    <row r="95" spans="16:17" x14ac:dyDescent="0.25">
      <c r="P95" s="12" t="s">
        <v>541</v>
      </c>
      <c r="Q95" s="12" t="s">
        <v>541</v>
      </c>
    </row>
    <row r="96" spans="16:17" x14ac:dyDescent="0.25">
      <c r="P96" s="12" t="s">
        <v>541</v>
      </c>
      <c r="Q96" s="12" t="s">
        <v>541</v>
      </c>
    </row>
    <row r="97" spans="16:17" x14ac:dyDescent="0.25">
      <c r="P97" s="12" t="s">
        <v>541</v>
      </c>
      <c r="Q97" s="12" t="s">
        <v>541</v>
      </c>
    </row>
    <row r="98" spans="16:17" x14ac:dyDescent="0.25">
      <c r="P98" s="12" t="s">
        <v>541</v>
      </c>
      <c r="Q98" s="12" t="s">
        <v>541</v>
      </c>
    </row>
    <row r="99" spans="16:17" x14ac:dyDescent="0.25">
      <c r="P99" s="12" t="s">
        <v>814</v>
      </c>
      <c r="Q99" s="12" t="s">
        <v>541</v>
      </c>
    </row>
    <row r="100" spans="16:17" x14ac:dyDescent="0.25">
      <c r="P100" s="12" t="s">
        <v>541</v>
      </c>
      <c r="Q100" s="12" t="s">
        <v>541</v>
      </c>
    </row>
    <row r="101" spans="16:17" x14ac:dyDescent="0.25">
      <c r="P101" s="12" t="s">
        <v>17</v>
      </c>
      <c r="Q101" s="12" t="s">
        <v>17</v>
      </c>
    </row>
    <row r="102" spans="16:17" x14ac:dyDescent="0.25">
      <c r="P102" s="12" t="s">
        <v>1012</v>
      </c>
      <c r="Q102" s="12" t="s">
        <v>1407</v>
      </c>
    </row>
    <row r="103" spans="16:17" x14ac:dyDescent="0.25">
      <c r="P103" s="12" t="s">
        <v>952</v>
      </c>
      <c r="Q103" s="12" t="s">
        <v>952</v>
      </c>
    </row>
  </sheetData>
  <sortState xmlns:xlrd2="http://schemas.microsoft.com/office/spreadsheetml/2017/richdata2" ref="A39:B48">
    <sortCondition ref="A39:A48"/>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A5B05-19D3-49A5-BAE1-BC6284769828}">
  <dimension ref="A1:W103"/>
  <sheetViews>
    <sheetView workbookViewId="0">
      <selection activeCell="D19" sqref="D19"/>
    </sheetView>
  </sheetViews>
  <sheetFormatPr baseColWidth="10" defaultRowHeight="15" zeroHeight="1" x14ac:dyDescent="0.25"/>
  <cols>
    <col min="1" max="1" width="19.5703125" style="27" customWidth="1"/>
    <col min="2" max="2" width="11.42578125" style="11" customWidth="1"/>
    <col min="3" max="3" width="17.42578125" style="27" customWidth="1"/>
    <col min="4" max="4" width="41.7109375" style="27" customWidth="1"/>
    <col min="5" max="5" width="24.140625" style="27" customWidth="1"/>
    <col min="6" max="6" width="13.42578125" style="27" customWidth="1"/>
    <col min="7" max="7" width="11.42578125" style="27" customWidth="1"/>
    <col min="8" max="9" width="11.42578125" style="11" customWidth="1"/>
    <col min="10" max="16" width="11.42578125" style="11"/>
    <col min="17" max="17" width="11.42578125" style="12"/>
    <col min="18" max="16384" width="11.42578125" style="11"/>
  </cols>
  <sheetData>
    <row r="1" spans="1:23" ht="30" x14ac:dyDescent="0.25">
      <c r="A1" s="27" t="s">
        <v>1</v>
      </c>
      <c r="B1" s="11" t="s">
        <v>3</v>
      </c>
      <c r="C1" s="27" t="s">
        <v>4</v>
      </c>
      <c r="D1" s="27" t="s">
        <v>1404</v>
      </c>
      <c r="E1" s="27" t="s">
        <v>1403</v>
      </c>
      <c r="F1" s="27" t="s">
        <v>1420</v>
      </c>
      <c r="G1" s="27" t="s">
        <v>1405</v>
      </c>
      <c r="Q1" s="11"/>
      <c r="V1" s="12"/>
    </row>
    <row r="2" spans="1:23" ht="30" hidden="1" x14ac:dyDescent="0.25">
      <c r="A2" s="27" t="s">
        <v>136</v>
      </c>
      <c r="B2" s="11" t="s">
        <v>147</v>
      </c>
      <c r="C2" s="27">
        <v>2021</v>
      </c>
      <c r="D2" s="27" t="s">
        <v>543</v>
      </c>
      <c r="E2" s="27" t="s">
        <v>1343</v>
      </c>
      <c r="F2" s="27" t="s">
        <v>1338</v>
      </c>
      <c r="G2" s="27" t="s">
        <v>17</v>
      </c>
      <c r="Q2" s="11"/>
      <c r="W2" s="12"/>
    </row>
    <row r="3" spans="1:23" ht="60" hidden="1" x14ac:dyDescent="0.25">
      <c r="A3" s="27" t="s">
        <v>275</v>
      </c>
      <c r="B3" s="11" t="s">
        <v>148</v>
      </c>
      <c r="C3" s="27">
        <v>2021</v>
      </c>
      <c r="D3" s="27" t="s">
        <v>551</v>
      </c>
      <c r="E3" s="27" t="s">
        <v>1344</v>
      </c>
      <c r="F3" s="27" t="s">
        <v>1349</v>
      </c>
      <c r="G3" s="27" t="s">
        <v>17</v>
      </c>
      <c r="Q3" s="11"/>
      <c r="W3" s="12"/>
    </row>
    <row r="4" spans="1:23" ht="90" x14ac:dyDescent="0.25">
      <c r="A4" s="27" t="s">
        <v>137</v>
      </c>
      <c r="B4" s="11" t="s">
        <v>149</v>
      </c>
      <c r="C4" s="27">
        <v>2022</v>
      </c>
      <c r="D4" s="27" t="s">
        <v>1321</v>
      </c>
      <c r="E4" s="27" t="s">
        <v>1345</v>
      </c>
      <c r="F4" s="27" t="s">
        <v>1348</v>
      </c>
      <c r="G4" s="27" t="s">
        <v>27</v>
      </c>
      <c r="Q4" s="11"/>
      <c r="W4" s="12"/>
    </row>
    <row r="5" spans="1:23" ht="120" hidden="1" x14ac:dyDescent="0.25">
      <c r="A5" s="27" t="s">
        <v>410</v>
      </c>
      <c r="B5" s="11" t="s">
        <v>411</v>
      </c>
      <c r="C5" s="27">
        <v>2020</v>
      </c>
      <c r="D5" s="27" t="s">
        <v>1048</v>
      </c>
      <c r="E5" s="27" t="s">
        <v>1334</v>
      </c>
      <c r="F5" s="27" t="s">
        <v>1338</v>
      </c>
      <c r="G5" s="27" t="s">
        <v>31</v>
      </c>
      <c r="Q5" s="11"/>
      <c r="W5" s="12"/>
    </row>
    <row r="6" spans="1:23" ht="60" hidden="1" x14ac:dyDescent="0.25">
      <c r="A6" s="27" t="s">
        <v>139</v>
      </c>
      <c r="B6" s="11" t="s">
        <v>151</v>
      </c>
      <c r="C6" s="27">
        <v>2020</v>
      </c>
      <c r="D6" s="27" t="s">
        <v>565</v>
      </c>
      <c r="E6" s="27" t="s">
        <v>1352</v>
      </c>
      <c r="F6" s="27" t="s">
        <v>1353</v>
      </c>
      <c r="G6" s="27" t="s">
        <v>31</v>
      </c>
      <c r="Q6" s="11"/>
      <c r="W6" s="12"/>
    </row>
    <row r="7" spans="1:23" ht="30" hidden="1" x14ac:dyDescent="0.25">
      <c r="A7" s="27" t="s">
        <v>138</v>
      </c>
      <c r="B7" s="11" t="s">
        <v>150</v>
      </c>
      <c r="C7" s="27">
        <v>2020</v>
      </c>
      <c r="D7" s="27" t="s">
        <v>573</v>
      </c>
      <c r="E7" s="27" t="s">
        <v>1343</v>
      </c>
      <c r="F7" s="27" t="s">
        <v>1338</v>
      </c>
      <c r="G7" s="27" t="s">
        <v>27</v>
      </c>
      <c r="Q7" s="11"/>
      <c r="W7" s="12"/>
    </row>
    <row r="8" spans="1:23" ht="30" hidden="1" x14ac:dyDescent="0.25">
      <c r="A8" s="27" t="s">
        <v>140</v>
      </c>
      <c r="B8" s="11" t="s">
        <v>153</v>
      </c>
      <c r="C8" s="27">
        <v>2016</v>
      </c>
      <c r="D8" s="27" t="s">
        <v>578</v>
      </c>
      <c r="E8" s="27" t="s">
        <v>17</v>
      </c>
      <c r="F8" s="27" t="s">
        <v>1347</v>
      </c>
      <c r="G8" s="27" t="s">
        <v>27</v>
      </c>
      <c r="Q8" s="11"/>
      <c r="W8" s="12"/>
    </row>
    <row r="9" spans="1:23" ht="30" hidden="1" x14ac:dyDescent="0.25">
      <c r="A9" s="27" t="s">
        <v>140</v>
      </c>
      <c r="B9" s="11" t="s">
        <v>152</v>
      </c>
      <c r="C9" s="27">
        <v>2022</v>
      </c>
      <c r="D9" s="27" t="s">
        <v>578</v>
      </c>
      <c r="E9" s="27" t="s">
        <v>17</v>
      </c>
      <c r="F9" s="27" t="s">
        <v>1347</v>
      </c>
      <c r="G9" s="27" t="s">
        <v>27</v>
      </c>
      <c r="Q9" s="11"/>
      <c r="W9" s="12"/>
    </row>
    <row r="10" spans="1:23" ht="45" hidden="1" x14ac:dyDescent="0.25">
      <c r="A10" s="27" t="s">
        <v>274</v>
      </c>
      <c r="B10" s="11" t="s">
        <v>154</v>
      </c>
      <c r="C10" s="27">
        <v>2020</v>
      </c>
      <c r="D10" s="27" t="s">
        <v>585</v>
      </c>
      <c r="E10" s="27" t="s">
        <v>1334</v>
      </c>
      <c r="F10" s="27" t="s">
        <v>1338</v>
      </c>
      <c r="G10" s="27" t="s">
        <v>31</v>
      </c>
      <c r="Q10" s="11"/>
      <c r="W10" s="12"/>
    </row>
    <row r="11" spans="1:23" ht="30" hidden="1" x14ac:dyDescent="0.25">
      <c r="A11" s="27" t="s">
        <v>433</v>
      </c>
      <c r="B11" s="11" t="s">
        <v>432</v>
      </c>
      <c r="C11" s="27">
        <v>2015</v>
      </c>
      <c r="D11" s="27" t="s">
        <v>17</v>
      </c>
      <c r="E11" s="27" t="s">
        <v>17</v>
      </c>
      <c r="F11" s="27" t="s">
        <v>17</v>
      </c>
      <c r="G11" s="27" t="s">
        <v>31</v>
      </c>
      <c r="Q11" s="11"/>
      <c r="W11" s="12"/>
    </row>
    <row r="12" spans="1:23" ht="75" hidden="1" x14ac:dyDescent="0.25">
      <c r="A12" s="27" t="s">
        <v>276</v>
      </c>
      <c r="B12" s="11" t="s">
        <v>155</v>
      </c>
      <c r="C12" s="27">
        <v>2019</v>
      </c>
      <c r="D12" s="27" t="s">
        <v>592</v>
      </c>
      <c r="E12" s="27" t="s">
        <v>17</v>
      </c>
      <c r="F12" s="27" t="s">
        <v>1354</v>
      </c>
      <c r="G12" s="27" t="s">
        <v>29</v>
      </c>
      <c r="Q12" s="11"/>
      <c r="W12" s="12"/>
    </row>
    <row r="13" spans="1:23" ht="105" hidden="1" x14ac:dyDescent="0.25">
      <c r="A13" s="27" t="s">
        <v>523</v>
      </c>
      <c r="B13" s="11" t="s">
        <v>524</v>
      </c>
      <c r="C13" s="27">
        <v>2014</v>
      </c>
      <c r="D13" s="27" t="s">
        <v>1061</v>
      </c>
      <c r="E13" s="27" t="s">
        <v>1335</v>
      </c>
      <c r="F13" s="27" t="s">
        <v>1338</v>
      </c>
      <c r="G13" s="27" t="s">
        <v>27</v>
      </c>
      <c r="Q13" s="11"/>
      <c r="W13" s="12"/>
    </row>
    <row r="14" spans="1:23" ht="45" hidden="1" x14ac:dyDescent="0.25">
      <c r="A14" s="27" t="s">
        <v>141</v>
      </c>
      <c r="B14" s="11" t="s">
        <v>157</v>
      </c>
      <c r="C14" s="27">
        <v>2024</v>
      </c>
      <c r="D14" s="27" t="s">
        <v>604</v>
      </c>
      <c r="E14" s="27" t="s">
        <v>17</v>
      </c>
      <c r="F14" s="27" t="s">
        <v>1355</v>
      </c>
      <c r="G14" s="27" t="s">
        <v>27</v>
      </c>
      <c r="Q14" s="11"/>
      <c r="W14" s="12"/>
    </row>
    <row r="15" spans="1:23" ht="60" hidden="1" x14ac:dyDescent="0.25">
      <c r="A15" s="27" t="s">
        <v>438</v>
      </c>
      <c r="B15" s="11" t="s">
        <v>439</v>
      </c>
      <c r="C15" s="27">
        <v>2015</v>
      </c>
      <c r="D15" s="27" t="s">
        <v>1064</v>
      </c>
      <c r="E15" s="27" t="s">
        <v>17</v>
      </c>
      <c r="F15" s="27" t="s">
        <v>1338</v>
      </c>
      <c r="G15" s="27" t="s">
        <v>31</v>
      </c>
      <c r="Q15" s="11"/>
      <c r="W15" s="12"/>
    </row>
    <row r="16" spans="1:23" ht="135" hidden="1" x14ac:dyDescent="0.25">
      <c r="A16" s="27" t="s">
        <v>436</v>
      </c>
      <c r="B16" s="11" t="s">
        <v>435</v>
      </c>
      <c r="C16" s="27">
        <v>2014</v>
      </c>
      <c r="D16" s="27" t="s">
        <v>1077</v>
      </c>
      <c r="E16" s="27" t="s">
        <v>7</v>
      </c>
      <c r="F16" s="27" t="s">
        <v>1340</v>
      </c>
      <c r="G16" s="27" t="s">
        <v>30</v>
      </c>
      <c r="Q16" s="11"/>
      <c r="W16" s="12"/>
    </row>
    <row r="17" spans="1:23" ht="150" hidden="1" x14ac:dyDescent="0.25">
      <c r="A17" s="27" t="s">
        <v>429</v>
      </c>
      <c r="B17" s="11" t="s">
        <v>430</v>
      </c>
      <c r="C17" s="27">
        <v>2016</v>
      </c>
      <c r="D17" s="27" t="s">
        <v>1083</v>
      </c>
      <c r="E17" s="27" t="s">
        <v>1356</v>
      </c>
      <c r="F17" s="27" t="s">
        <v>1338</v>
      </c>
      <c r="G17" s="27" t="s">
        <v>30</v>
      </c>
      <c r="Q17" s="11"/>
      <c r="W17" s="12"/>
    </row>
    <row r="18" spans="1:23" ht="60" hidden="1" x14ac:dyDescent="0.25">
      <c r="A18" s="27" t="s">
        <v>281</v>
      </c>
      <c r="B18" s="11" t="s">
        <v>158</v>
      </c>
      <c r="C18" s="27">
        <v>2018</v>
      </c>
      <c r="D18" s="27" t="s">
        <v>610</v>
      </c>
      <c r="E18" s="27" t="s">
        <v>17</v>
      </c>
      <c r="F18" s="27" t="s">
        <v>1338</v>
      </c>
      <c r="G18" s="27" t="s">
        <v>30</v>
      </c>
      <c r="Q18" s="11"/>
      <c r="W18" s="12"/>
    </row>
    <row r="19" spans="1:23" ht="60" x14ac:dyDescent="0.25">
      <c r="A19" s="27" t="s">
        <v>283</v>
      </c>
      <c r="B19" s="11" t="s">
        <v>159</v>
      </c>
      <c r="C19" s="27">
        <v>2023</v>
      </c>
      <c r="D19" s="27" t="s">
        <v>616</v>
      </c>
      <c r="E19" s="27" t="s">
        <v>1357</v>
      </c>
      <c r="F19" s="27" t="s">
        <v>1358</v>
      </c>
      <c r="G19" s="27" t="s">
        <v>31</v>
      </c>
      <c r="Q19" s="11"/>
      <c r="W19" s="12"/>
    </row>
    <row r="20" spans="1:23" ht="60" hidden="1" x14ac:dyDescent="0.25">
      <c r="A20" s="27" t="s">
        <v>285</v>
      </c>
      <c r="B20" s="11" t="s">
        <v>160</v>
      </c>
      <c r="C20" s="27">
        <v>2015</v>
      </c>
      <c r="D20" s="27" t="s">
        <v>622</v>
      </c>
      <c r="E20" s="27" t="s">
        <v>17</v>
      </c>
      <c r="F20" s="27" t="s">
        <v>1363</v>
      </c>
      <c r="G20" s="27" t="s">
        <v>27</v>
      </c>
      <c r="Q20" s="11"/>
      <c r="W20" s="12"/>
    </row>
    <row r="21" spans="1:23" ht="75" hidden="1" x14ac:dyDescent="0.25">
      <c r="A21" s="27" t="s">
        <v>286</v>
      </c>
      <c r="B21" s="11" t="s">
        <v>161</v>
      </c>
      <c r="C21" s="27">
        <v>2017</v>
      </c>
      <c r="D21" s="27" t="s">
        <v>631</v>
      </c>
      <c r="E21" s="27" t="s">
        <v>7</v>
      </c>
      <c r="F21" s="27" t="s">
        <v>1359</v>
      </c>
      <c r="G21" s="27" t="s">
        <v>17</v>
      </c>
      <c r="Q21" s="11"/>
      <c r="W21" s="12"/>
    </row>
    <row r="22" spans="1:23" hidden="1" x14ac:dyDescent="0.25">
      <c r="A22" s="27" t="s">
        <v>531</v>
      </c>
      <c r="B22" s="11" t="s">
        <v>532</v>
      </c>
      <c r="C22" s="27">
        <v>2019</v>
      </c>
      <c r="D22" s="27" t="s">
        <v>17</v>
      </c>
      <c r="E22" s="27" t="s">
        <v>17</v>
      </c>
      <c r="F22" s="27" t="s">
        <v>17</v>
      </c>
      <c r="G22" s="27" t="s">
        <v>17</v>
      </c>
      <c r="Q22" s="11"/>
      <c r="W22" s="12"/>
    </row>
    <row r="23" spans="1:23" ht="195" hidden="1" x14ac:dyDescent="0.25">
      <c r="A23" s="27" t="s">
        <v>445</v>
      </c>
      <c r="B23" s="11" t="s">
        <v>444</v>
      </c>
      <c r="C23" s="27">
        <v>2019</v>
      </c>
      <c r="D23" s="27" t="s">
        <v>1095</v>
      </c>
      <c r="E23" s="27" t="s">
        <v>1096</v>
      </c>
      <c r="F23" s="27" t="s">
        <v>1360</v>
      </c>
      <c r="G23" s="27" t="s">
        <v>28</v>
      </c>
      <c r="Q23" s="11"/>
      <c r="W23" s="12"/>
    </row>
    <row r="24" spans="1:23" ht="30" hidden="1" x14ac:dyDescent="0.25">
      <c r="A24" s="27" t="s">
        <v>492</v>
      </c>
      <c r="B24" s="11" t="s">
        <v>178</v>
      </c>
      <c r="C24" s="27">
        <v>2017</v>
      </c>
      <c r="D24" s="27" t="s">
        <v>767</v>
      </c>
      <c r="E24" s="27" t="s">
        <v>7</v>
      </c>
      <c r="F24" s="27" t="s">
        <v>1340</v>
      </c>
      <c r="G24" s="27" t="s">
        <v>30</v>
      </c>
      <c r="Q24" s="11"/>
      <c r="W24" s="12"/>
    </row>
    <row r="25" spans="1:23" ht="75" hidden="1" x14ac:dyDescent="0.25">
      <c r="A25" s="27" t="s">
        <v>491</v>
      </c>
      <c r="B25" s="11" t="s">
        <v>162</v>
      </c>
      <c r="C25" s="27">
        <v>2016</v>
      </c>
      <c r="D25" s="27" t="s">
        <v>643</v>
      </c>
      <c r="E25" s="27" t="s">
        <v>1361</v>
      </c>
      <c r="F25" s="27" t="s">
        <v>1362</v>
      </c>
      <c r="G25" s="27" t="s">
        <v>31</v>
      </c>
      <c r="Q25" s="11"/>
      <c r="W25" s="12"/>
    </row>
    <row r="26" spans="1:23" ht="60" hidden="1" x14ac:dyDescent="0.25">
      <c r="A26" s="27" t="s">
        <v>294</v>
      </c>
      <c r="B26" s="11" t="s">
        <v>163</v>
      </c>
      <c r="C26" s="27">
        <v>2022</v>
      </c>
      <c r="D26" s="27" t="s">
        <v>644</v>
      </c>
      <c r="E26" s="27" t="s">
        <v>17</v>
      </c>
      <c r="F26" s="27" t="s">
        <v>1338</v>
      </c>
      <c r="G26" s="27" t="s">
        <v>29</v>
      </c>
      <c r="Q26" s="11"/>
      <c r="W26" s="12"/>
    </row>
    <row r="27" spans="1:23" ht="60" hidden="1" x14ac:dyDescent="0.25">
      <c r="A27" s="27" t="s">
        <v>142</v>
      </c>
      <c r="B27" s="11" t="s">
        <v>484</v>
      </c>
      <c r="C27" s="27">
        <v>2019</v>
      </c>
      <c r="D27" s="27" t="s">
        <v>650</v>
      </c>
      <c r="E27" s="27" t="s">
        <v>1421</v>
      </c>
      <c r="F27" s="27" t="s">
        <v>1364</v>
      </c>
      <c r="G27" s="27" t="s">
        <v>27</v>
      </c>
      <c r="Q27" s="11"/>
      <c r="W27" s="12"/>
    </row>
    <row r="28" spans="1:23" ht="45" hidden="1" x14ac:dyDescent="0.25">
      <c r="A28" s="27" t="s">
        <v>143</v>
      </c>
      <c r="B28" s="11" t="s">
        <v>164</v>
      </c>
      <c r="C28" s="27">
        <v>2023</v>
      </c>
      <c r="D28" s="27" t="s">
        <v>658</v>
      </c>
      <c r="E28" s="27" t="s">
        <v>1334</v>
      </c>
      <c r="F28" s="27" t="s">
        <v>1365</v>
      </c>
      <c r="G28" s="27" t="s">
        <v>29</v>
      </c>
      <c r="Q28" s="11"/>
      <c r="W28" s="12"/>
    </row>
    <row r="29" spans="1:23" ht="135" x14ac:dyDescent="0.25">
      <c r="A29" s="27" t="s">
        <v>490</v>
      </c>
      <c r="B29" s="11" t="s">
        <v>488</v>
      </c>
      <c r="C29" s="27">
        <v>2015</v>
      </c>
      <c r="D29" s="27" t="s">
        <v>1103</v>
      </c>
      <c r="E29" s="27" t="s">
        <v>372</v>
      </c>
      <c r="F29" s="27" t="s">
        <v>1366</v>
      </c>
      <c r="G29" s="27" t="s">
        <v>30</v>
      </c>
      <c r="Q29" s="11"/>
      <c r="W29" s="12"/>
    </row>
    <row r="30" spans="1:23" ht="90" hidden="1" x14ac:dyDescent="0.25">
      <c r="A30" s="27" t="s">
        <v>144</v>
      </c>
      <c r="B30" s="11" t="s">
        <v>292</v>
      </c>
      <c r="C30" s="27">
        <v>2022</v>
      </c>
      <c r="D30" s="27" t="s">
        <v>666</v>
      </c>
      <c r="E30" s="27" t="s">
        <v>7</v>
      </c>
      <c r="F30" s="27" t="s">
        <v>1367</v>
      </c>
      <c r="G30" s="27" t="s">
        <v>27</v>
      </c>
      <c r="Q30" s="11"/>
      <c r="W30" s="12"/>
    </row>
    <row r="31" spans="1:23" ht="45" hidden="1" x14ac:dyDescent="0.25">
      <c r="A31" s="27" t="s">
        <v>295</v>
      </c>
      <c r="B31" s="11" t="s">
        <v>165</v>
      </c>
      <c r="C31" s="27">
        <v>2023</v>
      </c>
      <c r="D31" s="27" t="s">
        <v>675</v>
      </c>
      <c r="E31" s="27" t="s">
        <v>455</v>
      </c>
      <c r="F31" s="27" t="s">
        <v>1338</v>
      </c>
      <c r="G31" s="27" t="s">
        <v>31</v>
      </c>
      <c r="Q31" s="11"/>
      <c r="W31" s="12"/>
    </row>
    <row r="32" spans="1:23" ht="60" hidden="1" x14ac:dyDescent="0.25">
      <c r="A32" s="27" t="s">
        <v>296</v>
      </c>
      <c r="B32" s="11" t="s">
        <v>166</v>
      </c>
      <c r="C32" s="27">
        <v>2020</v>
      </c>
      <c r="D32" s="27" t="s">
        <v>682</v>
      </c>
      <c r="E32" s="27" t="s">
        <v>1368</v>
      </c>
      <c r="F32" s="27" t="s">
        <v>1338</v>
      </c>
      <c r="G32" s="27" t="s">
        <v>31</v>
      </c>
      <c r="Q32" s="11"/>
      <c r="W32" s="12"/>
    </row>
    <row r="33" spans="1:23" ht="120" hidden="1" x14ac:dyDescent="0.25">
      <c r="A33" s="27" t="s">
        <v>498</v>
      </c>
      <c r="B33" s="11" t="s">
        <v>1274</v>
      </c>
      <c r="C33" s="27">
        <v>2020</v>
      </c>
      <c r="D33" s="27" t="s">
        <v>1112</v>
      </c>
      <c r="E33" s="27" t="s">
        <v>1334</v>
      </c>
      <c r="F33" s="27" t="s">
        <v>1369</v>
      </c>
      <c r="G33" s="27" t="s">
        <v>30</v>
      </c>
      <c r="Q33" s="11"/>
      <c r="W33" s="12"/>
    </row>
    <row r="34" spans="1:23" ht="120" hidden="1" x14ac:dyDescent="0.25">
      <c r="A34" s="27" t="s">
        <v>426</v>
      </c>
      <c r="B34" s="11" t="s">
        <v>425</v>
      </c>
      <c r="C34" s="27">
        <v>2015</v>
      </c>
      <c r="D34" s="27" t="s">
        <v>1119</v>
      </c>
      <c r="E34" s="27" t="s">
        <v>1370</v>
      </c>
      <c r="F34" s="27" t="s">
        <v>1360</v>
      </c>
      <c r="G34" s="27" t="s">
        <v>27</v>
      </c>
      <c r="Q34" s="11"/>
      <c r="W34" s="12"/>
    </row>
    <row r="35" spans="1:23" ht="120" hidden="1" x14ac:dyDescent="0.25">
      <c r="A35" s="27" t="s">
        <v>1275</v>
      </c>
      <c r="B35" s="11" t="s">
        <v>503</v>
      </c>
      <c r="C35" s="27">
        <v>2019</v>
      </c>
      <c r="D35" s="27" t="s">
        <v>1177</v>
      </c>
      <c r="E35" s="27" t="s">
        <v>455</v>
      </c>
      <c r="F35" s="27" t="s">
        <v>1364</v>
      </c>
      <c r="G35" s="27" t="s">
        <v>31</v>
      </c>
      <c r="Q35" s="11"/>
      <c r="W35" s="12"/>
    </row>
    <row r="36" spans="1:23" ht="120" hidden="1" x14ac:dyDescent="0.25">
      <c r="A36" s="27" t="s">
        <v>1276</v>
      </c>
      <c r="B36" s="11" t="s">
        <v>500</v>
      </c>
      <c r="C36" s="27">
        <v>2019</v>
      </c>
      <c r="D36" s="27" t="s">
        <v>1172</v>
      </c>
      <c r="E36" s="27" t="s">
        <v>455</v>
      </c>
      <c r="F36" s="27" t="s">
        <v>1371</v>
      </c>
      <c r="G36" s="27" t="s">
        <v>31</v>
      </c>
      <c r="Q36" s="11"/>
      <c r="W36" s="12"/>
    </row>
    <row r="37" spans="1:23" ht="45" hidden="1" x14ac:dyDescent="0.25">
      <c r="A37" s="27" t="s">
        <v>299</v>
      </c>
      <c r="B37" s="11" t="s">
        <v>169</v>
      </c>
      <c r="C37" s="27">
        <v>2023</v>
      </c>
      <c r="D37" s="27" t="s">
        <v>690</v>
      </c>
      <c r="E37" s="27" t="s">
        <v>1334</v>
      </c>
      <c r="F37" s="27" t="s">
        <v>1372</v>
      </c>
      <c r="G37" s="27" t="s">
        <v>27</v>
      </c>
      <c r="Q37" s="11"/>
      <c r="W37" s="12"/>
    </row>
    <row r="38" spans="1:23" ht="60" hidden="1" x14ac:dyDescent="0.25">
      <c r="A38" s="27" t="s">
        <v>303</v>
      </c>
      <c r="B38" s="11" t="s">
        <v>170</v>
      </c>
      <c r="C38" s="27">
        <v>2020</v>
      </c>
      <c r="D38" s="27" t="s">
        <v>697</v>
      </c>
      <c r="E38" s="27" t="s">
        <v>455</v>
      </c>
      <c r="F38" s="27" t="s">
        <v>1346</v>
      </c>
      <c r="G38" s="27" t="s">
        <v>27</v>
      </c>
      <c r="Q38" s="11"/>
      <c r="W38" s="12"/>
    </row>
    <row r="39" spans="1:23" ht="75" hidden="1" x14ac:dyDescent="0.25">
      <c r="A39" s="27" t="s">
        <v>301</v>
      </c>
      <c r="B39" s="11" t="s">
        <v>168</v>
      </c>
      <c r="C39" s="27">
        <v>2020</v>
      </c>
      <c r="D39" s="27" t="s">
        <v>703</v>
      </c>
      <c r="E39" s="27" t="s">
        <v>455</v>
      </c>
      <c r="F39" s="27" t="s">
        <v>1338</v>
      </c>
      <c r="G39" s="27" t="s">
        <v>31</v>
      </c>
      <c r="Q39" s="11"/>
      <c r="W39" s="12"/>
    </row>
    <row r="40" spans="1:23" ht="60" hidden="1" x14ac:dyDescent="0.25">
      <c r="A40" s="27" t="s">
        <v>145</v>
      </c>
      <c r="B40" s="11" t="s">
        <v>167</v>
      </c>
      <c r="C40" s="27">
        <v>2019</v>
      </c>
      <c r="D40" s="27" t="s">
        <v>710</v>
      </c>
      <c r="E40" s="27" t="s">
        <v>711</v>
      </c>
      <c r="F40" s="27" t="s">
        <v>1338</v>
      </c>
      <c r="G40" s="27" t="s">
        <v>31</v>
      </c>
      <c r="Q40" s="11"/>
      <c r="W40" s="12"/>
    </row>
    <row r="41" spans="1:23" ht="105" hidden="1" x14ac:dyDescent="0.25">
      <c r="A41" s="27" t="s">
        <v>1277</v>
      </c>
      <c r="B41" s="11" t="s">
        <v>485</v>
      </c>
      <c r="C41" s="27">
        <v>2015</v>
      </c>
      <c r="D41" s="27" t="s">
        <v>1180</v>
      </c>
      <c r="E41" s="27" t="s">
        <v>455</v>
      </c>
      <c r="F41" s="27" t="s">
        <v>1358</v>
      </c>
      <c r="G41" s="27" t="s">
        <v>27</v>
      </c>
      <c r="Q41" s="11"/>
      <c r="W41" s="12"/>
    </row>
    <row r="42" spans="1:23" ht="30" hidden="1" x14ac:dyDescent="0.25">
      <c r="A42" s="27" t="s">
        <v>304</v>
      </c>
      <c r="B42" s="11" t="s">
        <v>171</v>
      </c>
      <c r="C42" s="27">
        <v>2024</v>
      </c>
      <c r="D42" s="27" t="s">
        <v>719</v>
      </c>
      <c r="E42" s="27" t="s">
        <v>1334</v>
      </c>
      <c r="F42" s="27" t="s">
        <v>1338</v>
      </c>
      <c r="G42" s="27" t="s">
        <v>27</v>
      </c>
      <c r="Q42" s="11"/>
      <c r="W42" s="12"/>
    </row>
    <row r="43" spans="1:23" ht="45" hidden="1" x14ac:dyDescent="0.25">
      <c r="A43" s="27" t="s">
        <v>333</v>
      </c>
      <c r="B43" s="11" t="s">
        <v>172</v>
      </c>
      <c r="C43" s="27">
        <v>2019</v>
      </c>
      <c r="D43" s="27" t="s">
        <v>725</v>
      </c>
      <c r="E43" s="27" t="s">
        <v>1373</v>
      </c>
      <c r="F43" s="27" t="s">
        <v>1338</v>
      </c>
      <c r="G43" s="27" t="s">
        <v>27</v>
      </c>
      <c r="Q43" s="11"/>
      <c r="W43" s="12"/>
    </row>
    <row r="44" spans="1:23" ht="60" hidden="1" x14ac:dyDescent="0.25">
      <c r="A44" s="27" t="s">
        <v>332</v>
      </c>
      <c r="B44" s="11" t="s">
        <v>173</v>
      </c>
      <c r="C44" s="27">
        <v>2020</v>
      </c>
      <c r="D44" s="27" t="s">
        <v>732</v>
      </c>
      <c r="E44" s="27" t="s">
        <v>1335</v>
      </c>
      <c r="F44" s="27" t="s">
        <v>1360</v>
      </c>
      <c r="G44" s="27" t="s">
        <v>27</v>
      </c>
      <c r="Q44" s="11"/>
      <c r="W44" s="12"/>
    </row>
    <row r="45" spans="1:23" ht="45" hidden="1" x14ac:dyDescent="0.25">
      <c r="A45" s="27" t="s">
        <v>307</v>
      </c>
      <c r="B45" s="11" t="s">
        <v>174</v>
      </c>
      <c r="C45" s="27">
        <v>2023</v>
      </c>
      <c r="D45" s="27" t="s">
        <v>740</v>
      </c>
      <c r="E45" s="27" t="s">
        <v>1334</v>
      </c>
      <c r="F45" s="27" t="s">
        <v>1338</v>
      </c>
      <c r="G45" s="27" t="s">
        <v>31</v>
      </c>
      <c r="Q45" s="11"/>
      <c r="W45" s="12"/>
    </row>
    <row r="46" spans="1:23" ht="45" hidden="1" x14ac:dyDescent="0.25">
      <c r="A46" s="27" t="s">
        <v>309</v>
      </c>
      <c r="B46" s="11" t="s">
        <v>175</v>
      </c>
      <c r="C46" s="27">
        <v>2018</v>
      </c>
      <c r="D46" s="27" t="s">
        <v>742</v>
      </c>
      <c r="E46" s="27" t="s">
        <v>1374</v>
      </c>
      <c r="F46" s="27" t="s">
        <v>1338</v>
      </c>
      <c r="G46" s="27" t="s">
        <v>28</v>
      </c>
      <c r="Q46" s="11"/>
      <c r="W46" s="12"/>
    </row>
    <row r="47" spans="1:23" ht="60" hidden="1" x14ac:dyDescent="0.25">
      <c r="A47" s="27" t="s">
        <v>146</v>
      </c>
      <c r="B47" s="11" t="s">
        <v>176</v>
      </c>
      <c r="C47" s="27">
        <v>2024</v>
      </c>
      <c r="D47" s="27" t="s">
        <v>754</v>
      </c>
      <c r="E47" s="27" t="s">
        <v>1337</v>
      </c>
      <c r="F47" s="27" t="s">
        <v>1375</v>
      </c>
      <c r="G47" s="27" t="s">
        <v>29</v>
      </c>
      <c r="Q47" s="11"/>
      <c r="W47" s="12"/>
    </row>
    <row r="48" spans="1:23" hidden="1" x14ac:dyDescent="0.25">
      <c r="A48" s="27" t="s">
        <v>511</v>
      </c>
      <c r="B48" s="11" t="s">
        <v>512</v>
      </c>
      <c r="C48" s="27">
        <v>2018</v>
      </c>
      <c r="D48" s="27" t="s">
        <v>17</v>
      </c>
      <c r="E48" s="27" t="s">
        <v>17</v>
      </c>
      <c r="F48" s="27" t="s">
        <v>17</v>
      </c>
      <c r="G48" s="27" t="s">
        <v>17</v>
      </c>
      <c r="Q48" s="11"/>
      <c r="W48" s="12"/>
    </row>
    <row r="49" spans="1:23" ht="30" hidden="1" x14ac:dyDescent="0.25">
      <c r="A49" s="27" t="s">
        <v>331</v>
      </c>
      <c r="B49" s="11" t="s">
        <v>177</v>
      </c>
      <c r="C49" s="27">
        <v>2017</v>
      </c>
      <c r="D49" s="27" t="s">
        <v>756</v>
      </c>
      <c r="E49" s="27" t="s">
        <v>1376</v>
      </c>
      <c r="F49" s="27" t="s">
        <v>17</v>
      </c>
      <c r="G49" s="27" t="s">
        <v>28</v>
      </c>
      <c r="Q49" s="11"/>
      <c r="W49" s="12"/>
    </row>
    <row r="50" spans="1:23" ht="75" hidden="1" x14ac:dyDescent="0.25">
      <c r="A50" s="27" t="s">
        <v>406</v>
      </c>
      <c r="B50" s="11" t="s">
        <v>311</v>
      </c>
      <c r="C50" s="27">
        <v>2022</v>
      </c>
      <c r="D50" s="27" t="s">
        <v>763</v>
      </c>
      <c r="E50" s="27" t="s">
        <v>455</v>
      </c>
      <c r="F50" s="27" t="s">
        <v>1346</v>
      </c>
      <c r="G50" s="27" t="s">
        <v>30</v>
      </c>
      <c r="Q50" s="11"/>
      <c r="W50" s="12"/>
    </row>
    <row r="51" spans="1:23" ht="45" hidden="1" x14ac:dyDescent="0.25">
      <c r="A51" s="27" t="s">
        <v>1278</v>
      </c>
      <c r="B51" s="11" t="s">
        <v>179</v>
      </c>
      <c r="C51" s="27">
        <v>2023</v>
      </c>
      <c r="D51" s="27" t="s">
        <v>774</v>
      </c>
      <c r="E51" s="27" t="s">
        <v>1381</v>
      </c>
      <c r="F51" s="27" t="s">
        <v>1364</v>
      </c>
      <c r="G51" s="27" t="s">
        <v>31</v>
      </c>
      <c r="Q51" s="11"/>
      <c r="W51" s="12"/>
    </row>
    <row r="52" spans="1:23" ht="45" hidden="1" x14ac:dyDescent="0.25">
      <c r="A52" s="27" t="s">
        <v>1279</v>
      </c>
      <c r="B52" s="11" t="s">
        <v>180</v>
      </c>
      <c r="C52" s="27">
        <v>2019</v>
      </c>
      <c r="D52" s="27" t="s">
        <v>781</v>
      </c>
      <c r="E52" s="27" t="s">
        <v>1357</v>
      </c>
      <c r="F52" s="27" t="s">
        <v>1364</v>
      </c>
      <c r="G52" s="27" t="s">
        <v>27</v>
      </c>
      <c r="Q52" s="11"/>
      <c r="W52" s="12"/>
    </row>
    <row r="53" spans="1:23" ht="120" hidden="1" x14ac:dyDescent="0.25">
      <c r="A53" s="27" t="s">
        <v>480</v>
      </c>
      <c r="B53" s="11" t="s">
        <v>479</v>
      </c>
      <c r="C53" s="27">
        <v>2015</v>
      </c>
      <c r="D53" s="27" t="s">
        <v>1194</v>
      </c>
      <c r="E53" s="27" t="s">
        <v>1335</v>
      </c>
      <c r="F53" s="27" t="s">
        <v>1338</v>
      </c>
      <c r="G53" s="27" t="s">
        <v>17</v>
      </c>
      <c r="Q53" s="11"/>
      <c r="W53" s="12"/>
    </row>
    <row r="54" spans="1:23" ht="45" hidden="1" x14ac:dyDescent="0.25">
      <c r="A54" s="27" t="s">
        <v>1280</v>
      </c>
      <c r="B54" s="11" t="s">
        <v>181</v>
      </c>
      <c r="C54" s="27">
        <v>2016</v>
      </c>
      <c r="D54" s="27" t="s">
        <v>789</v>
      </c>
      <c r="E54" s="27" t="s">
        <v>1377</v>
      </c>
      <c r="F54" s="27" t="s">
        <v>1338</v>
      </c>
      <c r="G54" s="27" t="s">
        <v>31</v>
      </c>
      <c r="Q54" s="11"/>
      <c r="W54" s="12"/>
    </row>
    <row r="55" spans="1:23" ht="45" hidden="1" x14ac:dyDescent="0.25">
      <c r="A55" s="27" t="s">
        <v>330</v>
      </c>
      <c r="B55" s="11" t="s">
        <v>183</v>
      </c>
      <c r="C55" s="27">
        <v>2018</v>
      </c>
      <c r="D55" s="27" t="s">
        <v>793</v>
      </c>
      <c r="E55" s="27" t="s">
        <v>7</v>
      </c>
      <c r="F55" s="27" t="s">
        <v>1378</v>
      </c>
      <c r="G55" s="27" t="s">
        <v>30</v>
      </c>
      <c r="Q55" s="11"/>
      <c r="W55" s="12"/>
    </row>
    <row r="56" spans="1:23" ht="45" hidden="1" x14ac:dyDescent="0.25">
      <c r="A56" s="27" t="s">
        <v>330</v>
      </c>
      <c r="B56" s="11" t="s">
        <v>182</v>
      </c>
      <c r="C56" s="27">
        <v>2018</v>
      </c>
      <c r="D56" s="27" t="s">
        <v>793</v>
      </c>
      <c r="E56" s="27" t="s">
        <v>7</v>
      </c>
      <c r="F56" s="27" t="s">
        <v>1378</v>
      </c>
      <c r="G56" s="27" t="s">
        <v>30</v>
      </c>
      <c r="Q56" s="11"/>
      <c r="W56" s="12"/>
    </row>
    <row r="57" spans="1:23" ht="45" hidden="1" x14ac:dyDescent="0.25">
      <c r="A57" s="27" t="s">
        <v>1281</v>
      </c>
      <c r="B57" s="11" t="s">
        <v>184</v>
      </c>
      <c r="C57" s="27">
        <v>2021</v>
      </c>
      <c r="D57" s="27" t="s">
        <v>803</v>
      </c>
      <c r="E57" s="27" t="s">
        <v>1379</v>
      </c>
      <c r="F57" s="27" t="s">
        <v>1338</v>
      </c>
      <c r="G57" s="27" t="s">
        <v>29</v>
      </c>
      <c r="Q57" s="11"/>
      <c r="W57" s="12"/>
    </row>
    <row r="58" spans="1:23" ht="75" hidden="1" x14ac:dyDescent="0.25">
      <c r="A58" s="27" t="s">
        <v>1320</v>
      </c>
      <c r="B58" s="11" t="s">
        <v>156</v>
      </c>
      <c r="C58" s="27">
        <v>2023</v>
      </c>
      <c r="D58" s="27" t="s">
        <v>598</v>
      </c>
      <c r="E58" s="27" t="s">
        <v>455</v>
      </c>
      <c r="F58" s="27" t="s">
        <v>1347</v>
      </c>
      <c r="G58" s="27" t="s">
        <v>27</v>
      </c>
      <c r="Q58" s="11"/>
      <c r="W58" s="12"/>
    </row>
    <row r="59" spans="1:23" ht="30" hidden="1" x14ac:dyDescent="0.25">
      <c r="A59" s="27" t="s">
        <v>1282</v>
      </c>
      <c r="B59" s="11" t="s">
        <v>526</v>
      </c>
      <c r="C59" s="27">
        <v>2018</v>
      </c>
      <c r="D59" s="27" t="s">
        <v>17</v>
      </c>
      <c r="E59" s="27" t="s">
        <v>17</v>
      </c>
      <c r="F59" s="27" t="s">
        <v>17</v>
      </c>
      <c r="G59" s="27" t="s">
        <v>27</v>
      </c>
      <c r="Q59" s="11"/>
      <c r="W59" s="12"/>
    </row>
    <row r="60" spans="1:23" ht="60" hidden="1" x14ac:dyDescent="0.25">
      <c r="A60" s="27" t="s">
        <v>1283</v>
      </c>
      <c r="B60" s="11" t="s">
        <v>185</v>
      </c>
      <c r="C60" s="27">
        <v>2018</v>
      </c>
      <c r="D60" s="27" t="s">
        <v>1147</v>
      </c>
      <c r="E60" s="27" t="s">
        <v>1380</v>
      </c>
      <c r="F60" s="27" t="s">
        <v>1362</v>
      </c>
      <c r="G60" s="27" t="s">
        <v>28</v>
      </c>
      <c r="Q60" s="11"/>
      <c r="W60" s="12"/>
    </row>
    <row r="61" spans="1:23" ht="45" hidden="1" x14ac:dyDescent="0.25">
      <c r="A61" s="27" t="s">
        <v>1284</v>
      </c>
      <c r="B61" s="11" t="s">
        <v>186</v>
      </c>
      <c r="C61" s="27">
        <v>2017</v>
      </c>
      <c r="D61" s="27" t="s">
        <v>17</v>
      </c>
      <c r="E61" s="27" t="s">
        <v>17</v>
      </c>
      <c r="F61" s="27" t="s">
        <v>17</v>
      </c>
      <c r="G61" s="27" t="s">
        <v>31</v>
      </c>
      <c r="Q61" s="11"/>
      <c r="W61" s="12"/>
    </row>
    <row r="62" spans="1:23" ht="105" hidden="1" x14ac:dyDescent="0.25">
      <c r="A62" s="27" t="s">
        <v>493</v>
      </c>
      <c r="B62" s="11" t="s">
        <v>477</v>
      </c>
      <c r="C62" s="27">
        <v>2018</v>
      </c>
      <c r="D62" s="27" t="s">
        <v>1205</v>
      </c>
      <c r="E62" s="27" t="s">
        <v>515</v>
      </c>
      <c r="F62" s="27" t="s">
        <v>17</v>
      </c>
      <c r="G62" s="27" t="s">
        <v>30</v>
      </c>
      <c r="Q62" s="11"/>
      <c r="W62" s="12"/>
    </row>
    <row r="63" spans="1:23" ht="45" hidden="1" x14ac:dyDescent="0.25">
      <c r="A63" s="27" t="s">
        <v>319</v>
      </c>
      <c r="B63" s="11" t="s">
        <v>187</v>
      </c>
      <c r="C63" s="27">
        <v>2020</v>
      </c>
      <c r="D63" s="27" t="s">
        <v>1168</v>
      </c>
      <c r="E63" s="27" t="s">
        <v>1333</v>
      </c>
      <c r="F63" s="27" t="s">
        <v>1382</v>
      </c>
      <c r="G63" s="27" t="s">
        <v>28</v>
      </c>
      <c r="Q63" s="11"/>
      <c r="W63" s="12"/>
    </row>
    <row r="64" spans="1:23" ht="60" hidden="1" x14ac:dyDescent="0.25">
      <c r="A64" s="27" t="s">
        <v>1285</v>
      </c>
      <c r="B64" s="11" t="s">
        <v>188</v>
      </c>
      <c r="C64" s="27">
        <v>2019</v>
      </c>
      <c r="D64" s="27" t="s">
        <v>825</v>
      </c>
      <c r="E64" s="27" t="s">
        <v>1337</v>
      </c>
      <c r="F64" s="27" t="s">
        <v>1338</v>
      </c>
      <c r="G64" s="27" t="s">
        <v>31</v>
      </c>
      <c r="Q64" s="11"/>
      <c r="W64" s="12"/>
    </row>
    <row r="65" spans="1:23" ht="60" hidden="1" x14ac:dyDescent="0.25">
      <c r="A65" s="27" t="s">
        <v>1286</v>
      </c>
      <c r="B65" s="11" t="s">
        <v>189</v>
      </c>
      <c r="C65" s="27">
        <v>2017</v>
      </c>
      <c r="D65" s="27" t="s">
        <v>832</v>
      </c>
      <c r="E65" s="27" t="s">
        <v>7</v>
      </c>
      <c r="F65" s="27" t="s">
        <v>1338</v>
      </c>
      <c r="G65" s="27" t="s">
        <v>30</v>
      </c>
      <c r="Q65" s="11"/>
      <c r="W65" s="12"/>
    </row>
    <row r="66" spans="1:23" ht="45" hidden="1" x14ac:dyDescent="0.25">
      <c r="A66" s="27" t="s">
        <v>1287</v>
      </c>
      <c r="B66" s="11" t="s">
        <v>190</v>
      </c>
      <c r="C66" s="27">
        <v>2016</v>
      </c>
      <c r="D66" s="27" t="s">
        <v>837</v>
      </c>
      <c r="E66" s="27" t="s">
        <v>1383</v>
      </c>
      <c r="F66" s="27" t="s">
        <v>17</v>
      </c>
      <c r="G66" s="27" t="s">
        <v>31</v>
      </c>
      <c r="Q66" s="11"/>
      <c r="W66" s="12"/>
    </row>
    <row r="67" spans="1:23" hidden="1" x14ac:dyDescent="0.25">
      <c r="A67" s="27" t="s">
        <v>474</v>
      </c>
      <c r="B67" s="11" t="s">
        <v>475</v>
      </c>
      <c r="C67" s="27">
        <v>2016</v>
      </c>
      <c r="D67" s="27" t="s">
        <v>17</v>
      </c>
      <c r="E67" s="27" t="s">
        <v>17</v>
      </c>
      <c r="F67" s="27" t="s">
        <v>17</v>
      </c>
      <c r="G67" s="27" t="s">
        <v>17</v>
      </c>
      <c r="Q67" s="11"/>
      <c r="W67" s="12"/>
    </row>
    <row r="68" spans="1:23" ht="45" hidden="1" x14ac:dyDescent="0.25">
      <c r="A68" s="27" t="s">
        <v>1288</v>
      </c>
      <c r="B68" s="11" t="s">
        <v>191</v>
      </c>
      <c r="C68" s="27">
        <v>2015</v>
      </c>
      <c r="D68" s="27" t="s">
        <v>847</v>
      </c>
      <c r="E68" s="27" t="s">
        <v>17</v>
      </c>
      <c r="F68" s="27" t="s">
        <v>17</v>
      </c>
      <c r="G68" s="27" t="s">
        <v>17</v>
      </c>
      <c r="Q68" s="11"/>
      <c r="W68" s="12"/>
    </row>
    <row r="69" spans="1:23" ht="60" hidden="1" x14ac:dyDescent="0.25">
      <c r="A69" s="27" t="s">
        <v>1289</v>
      </c>
      <c r="B69" s="11" t="s">
        <v>192</v>
      </c>
      <c r="C69" s="27">
        <v>2022</v>
      </c>
      <c r="D69" s="27" t="s">
        <v>855</v>
      </c>
      <c r="E69" s="27" t="s">
        <v>455</v>
      </c>
      <c r="F69" s="27" t="s">
        <v>1347</v>
      </c>
      <c r="G69" s="27" t="s">
        <v>30</v>
      </c>
      <c r="Q69" s="11"/>
      <c r="W69" s="12"/>
    </row>
    <row r="70" spans="1:23" ht="75" x14ac:dyDescent="0.25">
      <c r="A70" s="27" t="s">
        <v>1290</v>
      </c>
      <c r="B70" s="11" t="s">
        <v>193</v>
      </c>
      <c r="C70" s="27">
        <v>2017</v>
      </c>
      <c r="D70" s="27" t="s">
        <v>862</v>
      </c>
      <c r="E70" s="27" t="s">
        <v>1385</v>
      </c>
      <c r="F70" s="27" t="s">
        <v>1384</v>
      </c>
      <c r="G70" s="27" t="s">
        <v>31</v>
      </c>
      <c r="Q70" s="11"/>
      <c r="W70" s="12"/>
    </row>
    <row r="71" spans="1:23" ht="45" hidden="1" x14ac:dyDescent="0.25">
      <c r="A71" s="27" t="s">
        <v>1291</v>
      </c>
      <c r="B71" s="11" t="s">
        <v>194</v>
      </c>
      <c r="C71" s="27">
        <v>2015</v>
      </c>
      <c r="D71" s="27" t="s">
        <v>869</v>
      </c>
      <c r="E71" s="27" t="s">
        <v>867</v>
      </c>
      <c r="F71" s="27" t="s">
        <v>1338</v>
      </c>
      <c r="G71" s="27" t="s">
        <v>31</v>
      </c>
      <c r="Q71" s="11"/>
      <c r="W71" s="12"/>
    </row>
    <row r="72" spans="1:23" ht="150" hidden="1" x14ac:dyDescent="0.25">
      <c r="A72" s="27" t="s">
        <v>1292</v>
      </c>
      <c r="B72" s="11" t="s">
        <v>497</v>
      </c>
      <c r="C72" s="27">
        <v>2021</v>
      </c>
      <c r="D72" s="27" t="s">
        <v>1215</v>
      </c>
      <c r="E72" s="27" t="s">
        <v>455</v>
      </c>
      <c r="F72" s="27" t="s">
        <v>1348</v>
      </c>
      <c r="G72" s="27" t="s">
        <v>30</v>
      </c>
      <c r="Q72" s="11"/>
      <c r="W72" s="12"/>
    </row>
    <row r="73" spans="1:23" ht="105" hidden="1" x14ac:dyDescent="0.25">
      <c r="A73" s="27" t="s">
        <v>416</v>
      </c>
      <c r="B73" s="11" t="s">
        <v>417</v>
      </c>
      <c r="C73" s="27">
        <v>2018</v>
      </c>
      <c r="D73" s="27" t="s">
        <v>1221</v>
      </c>
      <c r="E73" s="27" t="s">
        <v>1337</v>
      </c>
      <c r="F73" s="27" t="s">
        <v>1364</v>
      </c>
      <c r="G73" s="27" t="s">
        <v>27</v>
      </c>
      <c r="Q73" s="11"/>
      <c r="W73" s="12"/>
    </row>
    <row r="74" spans="1:23" ht="270" hidden="1" x14ac:dyDescent="0.25">
      <c r="A74" s="27" t="s">
        <v>1294</v>
      </c>
      <c r="B74" s="11" t="s">
        <v>196</v>
      </c>
      <c r="C74" s="27">
        <v>2024</v>
      </c>
      <c r="D74" s="27" t="s">
        <v>1170</v>
      </c>
      <c r="E74" s="27" t="s">
        <v>17</v>
      </c>
      <c r="F74" s="27" t="s">
        <v>1386</v>
      </c>
      <c r="G74" s="27" t="s">
        <v>32</v>
      </c>
      <c r="Q74" s="11"/>
      <c r="W74" s="12"/>
    </row>
    <row r="75" spans="1:23" ht="60" hidden="1" x14ac:dyDescent="0.25">
      <c r="A75" s="27" t="s">
        <v>1293</v>
      </c>
      <c r="B75" s="11" t="s">
        <v>195</v>
      </c>
      <c r="C75" s="27">
        <v>2022</v>
      </c>
      <c r="D75" s="27" t="s">
        <v>1169</v>
      </c>
      <c r="E75" s="27" t="s">
        <v>17</v>
      </c>
      <c r="F75" s="27" t="s">
        <v>1378</v>
      </c>
      <c r="G75" s="27" t="s">
        <v>32</v>
      </c>
      <c r="Q75" s="11"/>
      <c r="W75" s="12"/>
    </row>
    <row r="76" spans="1:23" ht="90" hidden="1" x14ac:dyDescent="0.25">
      <c r="A76" s="27" t="s">
        <v>1295</v>
      </c>
      <c r="B76" s="11" t="s">
        <v>197</v>
      </c>
      <c r="C76" s="27">
        <v>2019</v>
      </c>
      <c r="D76" s="27" t="s">
        <v>888</v>
      </c>
      <c r="E76" s="27" t="s">
        <v>372</v>
      </c>
      <c r="F76" s="27" t="s">
        <v>1338</v>
      </c>
      <c r="G76" s="27" t="s">
        <v>31</v>
      </c>
      <c r="Q76" s="11"/>
      <c r="W76" s="12"/>
    </row>
    <row r="77" spans="1:23" ht="75" hidden="1" x14ac:dyDescent="0.25">
      <c r="A77" s="27" t="s">
        <v>1296</v>
      </c>
      <c r="B77" s="11" t="s">
        <v>280</v>
      </c>
      <c r="C77" s="27">
        <v>2020</v>
      </c>
      <c r="D77" s="27" t="s">
        <v>896</v>
      </c>
      <c r="E77" s="27" t="s">
        <v>7</v>
      </c>
      <c r="F77" s="27" t="s">
        <v>1350</v>
      </c>
      <c r="G77" s="27" t="s">
        <v>29</v>
      </c>
      <c r="Q77" s="11"/>
      <c r="W77" s="12"/>
    </row>
    <row r="78" spans="1:23" ht="105" hidden="1" x14ac:dyDescent="0.25">
      <c r="A78" s="27" t="s">
        <v>1297</v>
      </c>
      <c r="B78" s="11" t="s">
        <v>494</v>
      </c>
      <c r="C78" s="27">
        <v>2016</v>
      </c>
      <c r="D78" s="27" t="s">
        <v>1228</v>
      </c>
      <c r="E78" s="27" t="s">
        <v>1337</v>
      </c>
      <c r="F78" s="27" t="s">
        <v>1360</v>
      </c>
      <c r="G78" s="27" t="s">
        <v>30</v>
      </c>
      <c r="Q78" s="11"/>
      <c r="W78" s="12"/>
    </row>
    <row r="79" spans="1:23" ht="135" hidden="1" x14ac:dyDescent="0.25">
      <c r="A79" s="27" t="s">
        <v>1298</v>
      </c>
      <c r="B79" s="11" t="s">
        <v>473</v>
      </c>
      <c r="C79" s="27">
        <v>2015</v>
      </c>
      <c r="D79" s="27" t="s">
        <v>1234</v>
      </c>
      <c r="E79" s="27" t="s">
        <v>455</v>
      </c>
      <c r="F79" s="27" t="s">
        <v>1387</v>
      </c>
      <c r="G79" s="27" t="s">
        <v>30</v>
      </c>
      <c r="Q79" s="11"/>
      <c r="W79" s="12"/>
    </row>
    <row r="80" spans="1:23" ht="75" hidden="1" x14ac:dyDescent="0.25">
      <c r="A80" s="27" t="s">
        <v>1299</v>
      </c>
      <c r="B80" s="11" t="s">
        <v>198</v>
      </c>
      <c r="C80" s="27">
        <v>2021</v>
      </c>
      <c r="D80" s="27" t="s">
        <v>905</v>
      </c>
      <c r="E80" s="27" t="s">
        <v>455</v>
      </c>
      <c r="F80" s="27" t="s">
        <v>1388</v>
      </c>
      <c r="G80" s="27" t="s">
        <v>29</v>
      </c>
      <c r="Q80" s="11"/>
      <c r="W80" s="12"/>
    </row>
    <row r="81" spans="1:23" ht="135" hidden="1" x14ac:dyDescent="0.25">
      <c r="A81" s="27" t="s">
        <v>1300</v>
      </c>
      <c r="B81" s="11" t="s">
        <v>421</v>
      </c>
      <c r="C81" s="27">
        <v>2016</v>
      </c>
      <c r="D81" s="27" t="s">
        <v>1241</v>
      </c>
      <c r="E81" s="27" t="s">
        <v>1390</v>
      </c>
      <c r="F81" s="27" t="s">
        <v>1389</v>
      </c>
      <c r="G81" s="27" t="s">
        <v>29</v>
      </c>
      <c r="Q81" s="11"/>
      <c r="W81" s="12"/>
    </row>
    <row r="82" spans="1:23" ht="75" hidden="1" x14ac:dyDescent="0.25">
      <c r="A82" s="27" t="s">
        <v>1301</v>
      </c>
      <c r="B82" s="11" t="s">
        <v>199</v>
      </c>
      <c r="C82" s="27">
        <v>2024</v>
      </c>
      <c r="D82" s="27" t="s">
        <v>917</v>
      </c>
      <c r="E82" s="27" t="s">
        <v>372</v>
      </c>
      <c r="F82" s="27" t="s">
        <v>1338</v>
      </c>
      <c r="G82" s="27" t="s">
        <v>27</v>
      </c>
      <c r="Q82" s="11"/>
      <c r="W82" s="12"/>
    </row>
    <row r="83" spans="1:23" ht="105" x14ac:dyDescent="0.25">
      <c r="A83" s="27" t="s">
        <v>1302</v>
      </c>
      <c r="B83" s="11" t="s">
        <v>482</v>
      </c>
      <c r="C83" s="27">
        <v>2014</v>
      </c>
      <c r="D83" s="27" t="s">
        <v>1249</v>
      </c>
      <c r="E83" s="27" t="s">
        <v>1391</v>
      </c>
      <c r="F83" s="27" t="s">
        <v>1369</v>
      </c>
      <c r="G83" s="27" t="s">
        <v>27</v>
      </c>
      <c r="Q83" s="11"/>
      <c r="W83" s="12"/>
    </row>
    <row r="84" spans="1:23" ht="60" hidden="1" x14ac:dyDescent="0.25">
      <c r="A84" s="27" t="s">
        <v>1303</v>
      </c>
      <c r="B84" s="11" t="s">
        <v>200</v>
      </c>
      <c r="C84" s="27">
        <v>2015</v>
      </c>
      <c r="D84" s="27" t="s">
        <v>922</v>
      </c>
      <c r="E84" s="27" t="s">
        <v>1392</v>
      </c>
      <c r="F84" s="27" t="s">
        <v>1346</v>
      </c>
      <c r="G84" s="27" t="s">
        <v>30</v>
      </c>
      <c r="Q84" s="11"/>
      <c r="W84" s="12"/>
    </row>
    <row r="85" spans="1:23" ht="45" hidden="1" x14ac:dyDescent="0.25">
      <c r="A85" s="27" t="s">
        <v>1304</v>
      </c>
      <c r="B85" s="11" t="s">
        <v>1124</v>
      </c>
      <c r="C85" s="27">
        <v>2017</v>
      </c>
      <c r="D85" s="27" t="s">
        <v>927</v>
      </c>
      <c r="E85" s="27" t="s">
        <v>1337</v>
      </c>
      <c r="F85" s="27" t="s">
        <v>0</v>
      </c>
      <c r="G85" s="27" t="s">
        <v>31</v>
      </c>
      <c r="Q85" s="11"/>
      <c r="W85" s="12"/>
    </row>
    <row r="86" spans="1:23" ht="45" hidden="1" x14ac:dyDescent="0.25">
      <c r="A86" s="27" t="s">
        <v>1305</v>
      </c>
      <c r="B86" s="11" t="s">
        <v>202</v>
      </c>
      <c r="C86" s="27">
        <v>2019</v>
      </c>
      <c r="D86" s="27" t="s">
        <v>17</v>
      </c>
      <c r="E86" s="27" t="s">
        <v>17</v>
      </c>
      <c r="F86" s="27" t="s">
        <v>17</v>
      </c>
      <c r="G86" s="27" t="s">
        <v>17</v>
      </c>
      <c r="Q86" s="11"/>
      <c r="W86" s="12"/>
    </row>
    <row r="87" spans="1:23" ht="45" hidden="1" x14ac:dyDescent="0.25">
      <c r="A87" s="27" t="s">
        <v>1306</v>
      </c>
      <c r="B87" s="11" t="s">
        <v>201</v>
      </c>
      <c r="C87" s="27">
        <v>2022</v>
      </c>
      <c r="D87" s="27" t="s">
        <v>17</v>
      </c>
      <c r="E87" s="27" t="s">
        <v>17</v>
      </c>
      <c r="F87" s="27" t="s">
        <v>17</v>
      </c>
      <c r="G87" s="27" t="s">
        <v>17</v>
      </c>
      <c r="Q87" s="11"/>
      <c r="W87" s="12"/>
    </row>
    <row r="88" spans="1:23" ht="75" hidden="1" x14ac:dyDescent="0.25">
      <c r="A88" s="27" t="s">
        <v>1307</v>
      </c>
      <c r="B88" s="11" t="s">
        <v>1125</v>
      </c>
      <c r="C88" s="27">
        <v>2021</v>
      </c>
      <c r="D88" s="27" t="s">
        <v>937</v>
      </c>
      <c r="E88" s="27" t="s">
        <v>1342</v>
      </c>
      <c r="F88" s="27" t="s">
        <v>1364</v>
      </c>
      <c r="G88" s="27" t="s">
        <v>27</v>
      </c>
      <c r="Q88" s="11"/>
      <c r="W88" s="12"/>
    </row>
    <row r="89" spans="1:23" ht="150" hidden="1" x14ac:dyDescent="0.25">
      <c r="A89" s="27" t="s">
        <v>1308</v>
      </c>
      <c r="B89" s="11" t="s">
        <v>203</v>
      </c>
      <c r="C89" s="27">
        <v>2023</v>
      </c>
      <c r="D89" s="27" t="s">
        <v>946</v>
      </c>
      <c r="E89" s="27" t="s">
        <v>17</v>
      </c>
      <c r="F89" s="27" t="s">
        <v>17</v>
      </c>
      <c r="G89" s="27" t="s">
        <v>31</v>
      </c>
      <c r="Q89" s="11"/>
      <c r="W89" s="12"/>
    </row>
    <row r="90" spans="1:23" ht="45" hidden="1" x14ac:dyDescent="0.25">
      <c r="A90" s="27" t="s">
        <v>1309</v>
      </c>
      <c r="B90" s="11" t="s">
        <v>205</v>
      </c>
      <c r="C90" s="27">
        <v>2023</v>
      </c>
      <c r="D90" s="27" t="s">
        <v>967</v>
      </c>
      <c r="E90" s="27" t="s">
        <v>1393</v>
      </c>
      <c r="F90" s="27" t="s">
        <v>1338</v>
      </c>
      <c r="G90" s="27" t="s">
        <v>27</v>
      </c>
      <c r="Q90" s="11"/>
      <c r="W90" s="12"/>
    </row>
    <row r="91" spans="1:23" ht="45" hidden="1" x14ac:dyDescent="0.25">
      <c r="A91" s="27" t="s">
        <v>1309</v>
      </c>
      <c r="B91" s="11" t="s">
        <v>204</v>
      </c>
      <c r="C91" s="27">
        <v>2023</v>
      </c>
      <c r="D91" s="27" t="s">
        <v>956</v>
      </c>
      <c r="E91" s="27" t="s">
        <v>1334</v>
      </c>
      <c r="F91" s="27" t="s">
        <v>1338</v>
      </c>
      <c r="G91" s="27" t="s">
        <v>27</v>
      </c>
      <c r="Q91" s="11"/>
      <c r="W91" s="12"/>
    </row>
    <row r="92" spans="1:23" ht="120" hidden="1" x14ac:dyDescent="0.25">
      <c r="A92" s="27" t="s">
        <v>1310</v>
      </c>
      <c r="B92" s="11" t="s">
        <v>206</v>
      </c>
      <c r="C92" s="27">
        <v>2019</v>
      </c>
      <c r="D92" s="27" t="s">
        <v>960</v>
      </c>
      <c r="E92" s="27" t="s">
        <v>17</v>
      </c>
      <c r="F92" s="27" t="s">
        <v>1394</v>
      </c>
      <c r="G92" s="27" t="s">
        <v>27</v>
      </c>
      <c r="Q92" s="11"/>
      <c r="W92" s="12"/>
    </row>
    <row r="93" spans="1:23" ht="90" hidden="1" x14ac:dyDescent="0.25">
      <c r="A93" s="27" t="s">
        <v>1311</v>
      </c>
      <c r="B93" s="11" t="s">
        <v>207</v>
      </c>
      <c r="C93" s="27">
        <v>2023</v>
      </c>
      <c r="D93" s="27" t="s">
        <v>973</v>
      </c>
      <c r="E93" s="27" t="s">
        <v>455</v>
      </c>
      <c r="F93" s="27" t="s">
        <v>1339</v>
      </c>
      <c r="G93" s="27" t="s">
        <v>30</v>
      </c>
      <c r="Q93" s="11"/>
      <c r="W93" s="12"/>
    </row>
    <row r="94" spans="1:23" ht="30" hidden="1" x14ac:dyDescent="0.25">
      <c r="A94" s="27" t="s">
        <v>1312</v>
      </c>
      <c r="B94" s="11" t="s">
        <v>208</v>
      </c>
      <c r="C94" s="27">
        <v>2023</v>
      </c>
      <c r="D94" s="27" t="s">
        <v>983</v>
      </c>
      <c r="E94" s="27" t="s">
        <v>1335</v>
      </c>
      <c r="F94" s="27" t="s">
        <v>1338</v>
      </c>
      <c r="G94" s="27" t="s">
        <v>27</v>
      </c>
      <c r="Q94" s="11"/>
      <c r="W94" s="12"/>
    </row>
    <row r="95" spans="1:23" ht="105" x14ac:dyDescent="0.25">
      <c r="A95" s="27" t="s">
        <v>1313</v>
      </c>
      <c r="B95" s="11" t="s">
        <v>468</v>
      </c>
      <c r="C95" s="27">
        <v>2016</v>
      </c>
      <c r="D95" s="27" t="s">
        <v>1258</v>
      </c>
      <c r="E95" s="27" t="s">
        <v>1395</v>
      </c>
      <c r="F95" s="27" t="s">
        <v>1369</v>
      </c>
      <c r="G95" s="27" t="s">
        <v>31</v>
      </c>
      <c r="Q95" s="11"/>
      <c r="W95" s="12"/>
    </row>
    <row r="96" spans="1:23" ht="120" hidden="1" x14ac:dyDescent="0.25">
      <c r="A96" s="27" t="s">
        <v>338</v>
      </c>
      <c r="B96" s="11" t="s">
        <v>1126</v>
      </c>
      <c r="C96" s="27">
        <v>2024</v>
      </c>
      <c r="D96" s="27" t="s">
        <v>1159</v>
      </c>
      <c r="E96" s="27" t="s">
        <v>1337</v>
      </c>
      <c r="F96" s="27" t="s">
        <v>1396</v>
      </c>
      <c r="G96" s="27" t="s">
        <v>31</v>
      </c>
      <c r="Q96" s="11"/>
      <c r="W96" s="12"/>
    </row>
    <row r="97" spans="1:23" ht="120" hidden="1" x14ac:dyDescent="0.25">
      <c r="A97" s="27" t="s">
        <v>1314</v>
      </c>
      <c r="B97" s="11" t="s">
        <v>209</v>
      </c>
      <c r="C97" s="27">
        <v>2023</v>
      </c>
      <c r="D97" s="27" t="s">
        <v>1164</v>
      </c>
      <c r="E97" s="27" t="s">
        <v>1337</v>
      </c>
      <c r="F97" s="27" t="s">
        <v>1397</v>
      </c>
      <c r="G97" s="27" t="s">
        <v>27</v>
      </c>
      <c r="Q97" s="11"/>
      <c r="W97" s="12"/>
    </row>
    <row r="98" spans="1:23" ht="165" hidden="1" x14ac:dyDescent="0.25">
      <c r="A98" s="27" t="s">
        <v>1315</v>
      </c>
      <c r="B98" s="11" t="s">
        <v>210</v>
      </c>
      <c r="C98" s="27">
        <v>2019</v>
      </c>
      <c r="D98" s="27" t="s">
        <v>1171</v>
      </c>
      <c r="E98" s="27" t="s">
        <v>455</v>
      </c>
      <c r="F98" s="27" t="s">
        <v>1398</v>
      </c>
      <c r="G98" s="27" t="s">
        <v>30</v>
      </c>
      <c r="Q98" s="11"/>
      <c r="W98" s="12"/>
    </row>
    <row r="99" spans="1:23" ht="75" hidden="1" x14ac:dyDescent="0.25">
      <c r="A99" s="27" t="s">
        <v>1318</v>
      </c>
      <c r="B99" s="11" t="s">
        <v>538</v>
      </c>
      <c r="C99" s="27">
        <v>2022</v>
      </c>
      <c r="D99" s="27" t="s">
        <v>815</v>
      </c>
      <c r="E99" s="27" t="s">
        <v>1399</v>
      </c>
      <c r="F99" s="27" t="s">
        <v>1338</v>
      </c>
      <c r="G99" s="27" t="s">
        <v>29</v>
      </c>
      <c r="Q99" s="11"/>
      <c r="W99" s="12"/>
    </row>
    <row r="100" spans="1:23" ht="30" hidden="1" x14ac:dyDescent="0.25">
      <c r="A100" s="27" t="s">
        <v>407</v>
      </c>
      <c r="B100" s="11" t="s">
        <v>1319</v>
      </c>
      <c r="C100" s="27">
        <v>2022</v>
      </c>
      <c r="D100" s="27" t="s">
        <v>1004</v>
      </c>
      <c r="E100" s="27" t="s">
        <v>1400</v>
      </c>
      <c r="F100" s="27" t="s">
        <v>17</v>
      </c>
      <c r="G100" s="27" t="s">
        <v>31</v>
      </c>
      <c r="Q100" s="11"/>
      <c r="W100" s="12"/>
    </row>
    <row r="101" spans="1:23" ht="105" hidden="1" x14ac:dyDescent="0.25">
      <c r="A101" s="27" t="s">
        <v>1316</v>
      </c>
      <c r="B101" s="11" t="s">
        <v>505</v>
      </c>
      <c r="C101" s="27">
        <v>2017</v>
      </c>
      <c r="D101" s="27" t="s">
        <v>1266</v>
      </c>
      <c r="E101" s="27" t="s">
        <v>17</v>
      </c>
      <c r="F101" s="27" t="s">
        <v>1338</v>
      </c>
      <c r="G101" s="27" t="s">
        <v>29</v>
      </c>
      <c r="Q101" s="11"/>
      <c r="W101" s="12"/>
    </row>
    <row r="102" spans="1:23" ht="120" hidden="1" x14ac:dyDescent="0.25">
      <c r="A102" s="27" t="s">
        <v>339</v>
      </c>
      <c r="B102" s="11" t="s">
        <v>211</v>
      </c>
      <c r="C102" s="27">
        <v>2021</v>
      </c>
      <c r="D102" s="27" t="s">
        <v>1013</v>
      </c>
      <c r="E102" s="27" t="s">
        <v>7</v>
      </c>
      <c r="F102" s="27" t="s">
        <v>1401</v>
      </c>
      <c r="G102" s="27" t="s">
        <v>31</v>
      </c>
      <c r="Q102" s="11"/>
      <c r="W102" s="12"/>
    </row>
    <row r="103" spans="1:23" ht="45" hidden="1" x14ac:dyDescent="0.25">
      <c r="A103" s="27" t="s">
        <v>1317</v>
      </c>
      <c r="B103" s="11" t="s">
        <v>212</v>
      </c>
      <c r="C103" s="27">
        <v>2015</v>
      </c>
      <c r="D103" s="27" t="s">
        <v>1020</v>
      </c>
      <c r="E103" s="27" t="s">
        <v>7</v>
      </c>
      <c r="F103" s="27" t="s">
        <v>1402</v>
      </c>
      <c r="G103" s="27" t="s">
        <v>31</v>
      </c>
      <c r="Q103" s="11"/>
      <c r="W103" s="12"/>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principal</vt:lpstr>
      <vt:lpstr>syntax</vt:lpstr>
      <vt:lpstr>codes</vt:lpstr>
      <vt:lpstr>Hoja5</vt:lpstr>
      <vt:lpstr>Hoja3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 Álvarez</dc:creator>
  <cp:lastModifiedBy>Sr Álvarez</cp:lastModifiedBy>
  <cp:lastPrinted>2024-06-05T13:05:54Z</cp:lastPrinted>
  <dcterms:created xsi:type="dcterms:W3CDTF">2024-05-08T15:03:05Z</dcterms:created>
  <dcterms:modified xsi:type="dcterms:W3CDTF">2024-06-17T10:35:33Z</dcterms:modified>
</cp:coreProperties>
</file>